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CERES\"/>
    </mc:Choice>
  </mc:AlternateContent>
  <workbookProtection workbookAlgorithmName="SHA-512" workbookHashValue="3D/5FYYKaXNjVTmDLYoUt5e/irmGEV87ICZGC1dWAzd4Dr4LrG6AqyZIyUG86kwIglVwBCYMUqBRCQDQXVUMtA==" workbookSaltValue="Gs/VjlxtepGuzfV3I7nE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2" i="2"/>
  <c r="L16" i="2"/>
  <c r="X10" i="21"/>
  <c r="X15" i="16"/>
  <c r="X18" i="16" s="1"/>
  <c r="U9" i="17"/>
  <c r="U19" i="17" s="1"/>
  <c r="V10" i="16"/>
  <c r="L9" i="2"/>
  <c r="AZ19" i="11"/>
  <c r="R18" i="20"/>
  <c r="AP13" i="16"/>
  <c r="V9" i="16"/>
  <c r="T18" i="17"/>
  <c r="BG15" i="13"/>
  <c r="BE16" i="13"/>
  <c r="BE15" i="13"/>
  <c r="AX20" i="20"/>
  <c r="S19" i="8" l="1"/>
  <c r="AC19" i="8"/>
  <c r="AL16" i="11"/>
  <c r="C16" i="6"/>
  <c r="L15" i="2"/>
  <c r="R11" i="14"/>
  <c r="R17" i="14"/>
  <c r="AM15" i="11"/>
  <c r="T12" i="11"/>
  <c r="AB13" i="2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V20" i="20"/>
  <c r="AE20" i="20"/>
  <c r="AB20" i="20"/>
  <c r="Y20" i="20"/>
  <c r="I20" i="20"/>
  <c r="W20" i="21"/>
  <c r="AZ20" i="20"/>
  <c r="J20" i="20"/>
  <c r="R20" i="20"/>
  <c r="U10" i="11"/>
  <c r="U16" i="11"/>
  <c r="AM20" i="20"/>
  <c r="G13" i="14"/>
  <c r="X20" i="20"/>
  <c r="P20" i="20"/>
  <c r="L20" i="20"/>
  <c r="AN20" i="20"/>
  <c r="AO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L19" i="2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<sst xmlns="http://schemas.openxmlformats.org/spreadsheetml/2006/main" count="2102" uniqueCount="918">
  <si>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</si>
  <si>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</si>
  <si>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</si>
  <si>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</si>
  <si>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</si>
  <si>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</si>
  <si>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</si>
  <si>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</si>
  <si>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</si>
  <si>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</si>
  <si>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</si>
  <si>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</si>
  <si>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</si>
  <si>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</si>
  <si>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</si>
  <si>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</si>
  <si>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</si>
  <si>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</si>
  <si>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</si>
  <si>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</si>
  <si>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</si>
  <si>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</si>
  <si>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</si>
  <si>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</si>
  <si>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</si>
  <si>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</si>
  <si>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</si>
  <si>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</si>
  <si>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</si>
  <si>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</si>
  <si>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</si>
  <si>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</si>
  <si>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</si>
  <si>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</si>
  <si>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</si>
  <si>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</si>
  <si>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</si>
  <si>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</si>
  <si>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</si>
  <si>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</si>
  <si>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</si>
  <si>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</si>
  <si>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</si>
  <si>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</si>
  <si>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</si>
  <si>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</si>
  <si>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</si>
  <si>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</si>
  <si>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</si>
  <si>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</si>
  <si>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</si>
  <si>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</si>
  <si>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</si>
  <si>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</si>
  <si>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</si>
  <si>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</si>
  <si>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</si>
  <si>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</si>
  <si>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</si>
  <si>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</si>
  <si>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</si>
  <si>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</si>
  <si>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</si>
  <si>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</si>
  <si>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</si>
  <si>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</si>
  <si>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</si>
  <si>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</si>
  <si>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</si>
  <si>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</si>
  <si>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</si>
  <si>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</si>
  <si>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</si>
  <si>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</si>
  <si>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</si>
  <si>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</si>
  <si>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</si>
  <si>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</si>
  <si>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</si>
  <si>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</si>
  <si>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</si>
  <si>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</si>
  <si>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</si>
  <si>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</si>
  <si>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</si>
  <si>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</si>
  <si>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</si>
  <si>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</si>
  <si>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</si>
  <si>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</si>
  <si>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</si>
  <si>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</si>
  <si>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</si>
  <si>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</si>
  <si>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</si>
  <si>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</si>
  <si>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</si>
  <si>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</si>
  <si>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</si>
  <si>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</si>
  <si>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</si>
  <si>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</si>
  <si>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</si>
  <si>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</si>
  <si>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</si>
  <si>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</si>
  <si>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</si>
  <si>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</si>
  <si>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</si>
  <si>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</si>
  <si>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</si>
  <si>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</si>
  <si>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</si>
  <si>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</si>
  <si>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</si>
  <si>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</si>
  <si>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</si>
  <si>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</si>
  <si>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</si>
  <si>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</si>
  <si>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</si>
  <si>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</si>
  <si>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</si>
  <si>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</si>
  <si>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</si>
  <si>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</si>
  <si>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</si>
  <si>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</si>
  <si>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</si>
  <si>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</si>
  <si>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</si>
  <si>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</si>
  <si>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</si>
  <si>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</si>
  <si>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</si>
  <si>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</si>
  <si>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</si>
  <si>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</si>
  <si>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</si>
  <si>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</si>
  <si>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</si>
  <si>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</si>
  <si>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</si>
  <si>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</si>
  <si>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</si>
  <si>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</si>
  <si>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</si>
  <si>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</si>
  <si>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</si>
  <si>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</si>
  <si>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</si>
  <si>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</si>
  <si>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</si>
  <si>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</si>
  <si>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</si>
  <si>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</si>
  <si>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</si>
  <si>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</si>
  <si>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</si>
  <si>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</si>
  <si>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</si>
  <si>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</si>
  <si>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</si>
  <si>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</si>
  <si>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</si>
  <si>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</si>
  <si>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</si>
  <si>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</si>
  <si>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</si>
  <si>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</si>
  <si>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</si>
  <si>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</si>
  <si>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</si>
  <si>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</si>
  <si>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</si>
  <si>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</si>
  <si>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</si>
  <si>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</si>
  <si>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</si>
  <si>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</si>
  <si>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</si>
  <si>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</si>
  <si>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</si>
  <si>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</si>
  <si>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</si>
  <si>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</si>
  <si>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</si>
  <si>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</si>
  <si>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</si>
  <si>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</si>
  <si>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</si>
  <si>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</si>
  <si>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</si>
  <si>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</si>
  <si>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</si>
  <si>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</si>
  <si>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</si>
  <si>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</si>
  <si>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</si>
  <si>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</si>
  <si>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</si>
  <si>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</si>
  <si>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</si>
  <si>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</si>
  <si>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</si>
  <si>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</si>
  <si>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</si>
  <si>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</si>
  <si>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</si>
  <si>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</si>
  <si>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</si>
  <si>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</si>
  <si>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</si>
  <si>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</si>
  <si>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</si>
  <si>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</si>
  <si>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</si>
  <si>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</si>
  <si>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</si>
  <si>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</si>
  <si>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</si>
  <si>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</si>
  <si>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</si>
  <si>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</si>
  <si>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</si>
  <si>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</si>
  <si>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</si>
  <si>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</si>
  <si>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</si>
  <si>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</si>
  <si>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</si>
  <si>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</si>
  <si>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</si>
  <si>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</si>
  <si>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</si>
  <si>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</si>
  <si>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</si>
  <si>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</si>
  <si>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</si>
  <si>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</si>
  <si>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</si>
  <si>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</si>
  <si>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</si>
  <si>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</si>
  <si>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</si>
  <si>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</si>
  <si>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</si>
  <si>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</si>
  <si>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</si>
  <si>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</si>
  <si>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</si>
  <si>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</si>
  <si>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</si>
  <si>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</si>
  <si>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</si>
  <si>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</si>
  <si>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</si>
  <si>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</si>
  <si>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</si>
  <si>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</si>
  <si>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</si>
  <si>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</si>
  <si>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</si>
  <si>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</si>
  <si>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</si>
  <si>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</si>
  <si>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</si>
  <si>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</si>
  <si>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</si>
  <si>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</si>
  <si>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</si>
  <si>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</si>
  <si>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</si>
  <si>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</si>
  <si>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</si>
  <si>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</si>
  <si>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</si>
  <si>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</si>
  <si>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</si>
  <si>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</si>
  <si>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</si>
  <si>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</si>
  <si>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</si>
  <si>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</si>
  <si>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</si>
  <si>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</si>
  <si>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</si>
  <si>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</si>
  <si>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</si>
  <si>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</si>
  <si>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</si>
  <si>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</si>
  <si>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</si>
  <si>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</si>
  <si>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</si>
  <si>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</si>
  <si>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</si>
  <si>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</si>
  <si>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</si>
  <si>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</si>
  <si>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</si>
  <si>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</si>
  <si>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</si>
  <si>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</si>
  <si>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</si>
  <si>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</si>
  <si>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</si>
  <si>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</si>
  <si>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</si>
  <si>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</si>
  <si>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</si>
  <si>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</si>
  <si>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</si>
  <si>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</si>
  <si>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</si>
  <si>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</si>
  <si>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</si>
  <si>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</si>
  <si>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</si>
  <si>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</si>
  <si>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</si>
  <si>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</si>
  <si>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</si>
  <si>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</si>
  <si>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</si>
  <si>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</si>
  <si>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</si>
  <si>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</si>
  <si>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</si>
  <si>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</si>
  <si>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</si>
  <si>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</si>
  <si>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</si>
  <si>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</si>
  <si>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</si>
  <si>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</si>
  <si>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</si>
  <si>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</si>
  <si>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</si>
  <si>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</si>
  <si>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</si>
  <si>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</si>
  <si>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</si>
  <si>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</si>
  <si>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</si>
  <si>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</si>
  <si>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</si>
  <si>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</si>
  <si>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</si>
  <si>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</si>
  <si>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</si>
  <si>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</si>
  <si>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</si>
  <si>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</si>
  <si>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</si>
  <si>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</si>
  <si>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</si>
  <si>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</si>
  <si>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</si>
  <si>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</si>
  <si>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</si>
  <si>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</si>
  <si>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</si>
  <si>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</si>
  <si>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</si>
  <si>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</si>
  <si>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</si>
  <si>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</si>
  <si>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</si>
  <si>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</si>
  <si>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</si>
  <si>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</si>
  <si>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</si>
  <si>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</si>
  <si>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</si>
  <si>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</si>
  <si>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</si>
  <si>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</si>
  <si>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</si>
  <si>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</si>
  <si>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</si>
  <si>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</si>
  <si>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</si>
  <si>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</si>
  <si>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</si>
  <si>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</si>
  <si>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</si>
  <si>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</si>
  <si>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</si>
  <si>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</si>
  <si>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</si>
  <si>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</si>
  <si>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</si>
  <si>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</si>
  <si>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</si>
  <si>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</si>
  <si>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</si>
  <si>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</si>
  <si>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</si>
  <si>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</si>
  <si>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</si>
  <si>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</si>
  <si>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</si>
  <si>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</si>
  <si>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</si>
  <si>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</si>
  <si>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</si>
  <si>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</si>
  <si>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</si>
  <si>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</si>
  <si>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</si>
  <si>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</si>
  <si>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</si>
  <si>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</si>
  <si>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</si>
  <si>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</si>
  <si>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</si>
  <si>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</si>
  <si>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</si>
  <si>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</si>
  <si>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</si>
  <si>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</si>
  <si>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</si>
  <si>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</si>
  <si>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</si>
  <si>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</si>
  <si>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</si>
  <si>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</si>
  <si>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</si>
  <si>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</si>
  <si>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</si>
  <si>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</si>
  <si>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</si>
  <si>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</si>
  <si>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</si>
  <si>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</si>
  <si>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</si>
  <si>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</si>
  <si>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</si>
  <si>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</si>
  <si>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</si>
  <si>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</si>
  <si>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</si>
  <si>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</si>
  <si>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</si>
  <si>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</si>
  <si>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</si>
  <si>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</si>
  <si>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</si>
  <si>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</si>
  <si>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</si>
  <si>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</si>
  <si>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</si>
  <si>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</si>
  <si>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</si>
  <si>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</si>
  <si>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</si>
  <si>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</si>
  <si>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</si>
  <si>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</si>
  <si>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</si>
  <si>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</si>
  <si>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</si>
  <si>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</si>
  <si>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</si>
  <si>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</si>
  <si>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</si>
  <si>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</si>
  <si>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</si>
  <si>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</si>
  <si>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</si>
  <si>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</si>
  <si>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</si>
  <si>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</si>
  <si>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</si>
  <si>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</si>
  <si>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</si>
  <si>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</si>
  <si>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</si>
  <si>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</si>
  <si>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</si>
  <si>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</si>
  <si>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</si>
  <si>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</si>
  <si>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</si>
  <si>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</si>
  <si>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</si>
  <si>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</si>
  <si>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</si>
  <si>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</si>
  <si>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</si>
  <si>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</si>
  <si>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</si>
  <si>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</si>
  <si>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</si>
  <si>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</si>
  <si>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</si>
  <si>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</si>
  <si>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</si>
  <si>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</si>
  <si>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</si>
  <si>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</si>
  <si>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</si>
  <si>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</si>
  <si>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</si>
  <si>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</si>
  <si>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</si>
  <si>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</si>
  <si>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</si>
  <si>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</si>
  <si>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</si>
  <si>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</si>
  <si>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</si>
  <si>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</si>
  <si>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</si>
  <si>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</si>
  <si>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</si>
  <si>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</si>
  <si>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</si>
  <si>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</si>
  <si>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</si>
  <si>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</si>
  <si>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</si>
  <si>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</si>
  <si>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</si>
  <si>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</si>
  <si>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</si>
  <si>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</si>
  <si>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</si>
  <si>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</si>
  <si>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</si>
  <si>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</si>
  <si>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</si>
  <si>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</si>
  <si>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</si>
  <si>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</si>
  <si>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</si>
  <si>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</si>
  <si>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</si>
  <si>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</si>
  <si>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</si>
  <si>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</si>
  <si>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</si>
  <si>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</si>
  <si>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</si>
  <si>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</si>
  <si>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</si>
  <si>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</si>
  <si>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</si>
  <si>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</si>
  <si>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</si>
  <si>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</si>
  <si>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</si>
  <si>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</si>
  <si>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</si>
  <si>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</si>
  <si>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</si>
  <si>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</si>
  <si>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</si>
  <si>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</si>
  <si>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</si>
  <si>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</si>
  <si>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</si>
  <si>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</si>
  <si>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</si>
  <si>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</si>
  <si>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</si>
  <si>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</si>
  <si>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</si>
  <si>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</si>
  <si>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</si>
  <si>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</si>
  <si>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</si>
  <si>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</si>
  <si>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</si>
  <si>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</si>
  <si>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</si>
  <si>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</si>
  <si>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</si>
  <si>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</si>
  <si>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</si>
  <si>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</si>
  <si>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</si>
  <si>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</si>
  <si>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</si>
  <si>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</si>
  <si>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</si>
  <si>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</si>
  <si>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</si>
  <si>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</si>
  <si>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</si>
  <si>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</si>
  <si>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</si>
  <si>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</si>
  <si>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</si>
  <si>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</si>
  <si>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</si>
  <si>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</si>
  <si>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</si>
  <si>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</si>
  <si>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</si>
  <si>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</si>
  <si>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</si>
  <si>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</si>
  <si>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</si>
  <si>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</si>
  <si>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</si>
  <si>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</si>
  <si>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</si>
  <si>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</si>
  <si>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</si>
  <si>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</si>
  <si>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</si>
  <si>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</si>
  <si>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</si>
  <si>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</si>
  <si>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</si>
  <si>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</si>
  <si>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</si>
  <si>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</si>
  <si>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</si>
  <si>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</si>
  <si>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</si>
  <si>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</si>
  <si>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</si>
  <si>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</si>
  <si>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</si>
  <si>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</si>
  <si>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</si>
  <si>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</si>
  <si>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</si>
  <si>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</si>
  <si>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</si>
  <si>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</si>
  <si>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</si>
  <si>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</si>
  <si>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</si>
  <si>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</si>
  <si>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</si>
  <si>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</si>
  <si>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</si>
  <si>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</si>
  <si>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</si>
  <si>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</si>
  <si>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</si>
  <si>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</si>
  <si>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</si>
  <si>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</si>
  <si>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</si>
  <si>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</si>
  <si>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</si>
  <si>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</si>
  <si>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</si>
  <si>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</si>
  <si>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</si>
  <si>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</si>
  <si>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</si>
  <si>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</si>
  <si>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</si>
  <si>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</si>
  <si>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</si>
  <si>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</si>
  <si>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</si>
  <si>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</si>
  <si>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</si>
  <si>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</si>
  <si>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</si>
  <si>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</si>
  <si>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</si>
  <si>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</si>
  <si>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</si>
  <si>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</si>
  <si>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</si>
  <si>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</si>
  <si>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</si>
  <si>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</si>
  <si>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</si>
  <si>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</si>
  <si>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</si>
  <si>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</si>
  <si>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</si>
  <si>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</si>
  <si>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</si>
  <si>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</si>
  <si>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</si>
  <si>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</si>
  <si>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</si>
  <si>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</si>
  <si>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</si>
  <si>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</si>
  <si>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</si>
  <si>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</si>
  <si>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</si>
  <si>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</si>
  <si>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</si>
  <si>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</si>
  <si>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</si>
  <si>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</si>
  <si>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</si>
  <si>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</si>
  <si>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</si>
  <si>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</si>
  <si>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</si>
  <si>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</si>
  <si>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</si>
  <si>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</si>
  <si>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</si>
  <si>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</si>
  <si>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</si>
  <si>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</si>
  <si>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</si>
  <si>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</si>
  <si>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</si>
  <si>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</si>
  <si>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</si>
  <si>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</si>
  <si>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</si>
  <si>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</si>
  <si>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</si>
  <si>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</si>
  <si>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</si>
  <si>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</si>
  <si>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</si>
  <si>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</si>
  <si>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</si>
  <si>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</si>
  <si>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</si>
  <si>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</si>
  <si>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</si>
  <si>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</si>
  <si>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</si>
  <si>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</si>
  <si>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</si>
  <si>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</si>
  <si>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</si>
  <si>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</si>
  <si>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</si>
  <si>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</si>
  <si>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</si>
  <si>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</si>
  <si>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</si>
  <si>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</si>
  <si>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</si>
  <si>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</si>
  <si>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</si>
  <si>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</si>
  <si>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</si>
  <si>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</si>
  <si>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</si>
  <si>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</si>
  <si>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</si>
  <si>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</si>
  <si>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</si>
  <si>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</si>
  <si>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</si>
  <si>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</si>
  <si>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</si>
  <si>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</si>
  <si>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</si>
  <si>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</si>
  <si>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</si>
  <si>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</si>
  <si>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</si>
  <si>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</si>
  <si>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</si>
  <si>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</si>
  <si>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</si>
  <si>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</si>
  <si>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</si>
  <si>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</si>
  <si>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</si>
  <si>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</si>
  <si>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</si>
  <si>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</si>
  <si>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</si>
  <si>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</si>
  <si>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</si>
  <si>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</si>
  <si>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</si>
  <si>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</si>
  <si>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</si>
  <si>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</si>
  <si>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</si>
  <si>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</si>
  <si>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</si>
  <si>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</si>
  <si>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</si>
  <si>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</si>
  <si>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</si>
  <si>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</si>
  <si>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</si>
  <si>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</si>
  <si>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</si>
  <si>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</si>
  <si>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</si>
  <si>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</si>
  <si>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</si>
  <si>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</si>
  <si>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</si>
  <si>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</si>
  <si>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</si>
  <si>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</si>
  <si>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</si>
  <si>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</si>
  <si>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</si>
  <si>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</si>
  <si>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</si>
  <si>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</si>
  <si>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</si>
  <si>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</si>
  <si>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</si>
  <si>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</si>
  <si>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</si>
  <si>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</si>
  <si>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</si>
  <si>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</si>
  <si>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</si>
  <si>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</si>
  <si>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</si>
  <si>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</si>
  <si>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</si>
  <si>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</si>
  <si>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</si>
  <si>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</si>
  <si>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</si>
  <si>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</si>
  <si>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</si>
  <si>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</si>
  <si>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</si>
  <si>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</si>
  <si>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</si>
  <si>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</si>
  <si>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</si>
  <si>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</si>
  <si>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</si>
  <si>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</si>
  <si>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</si>
  <si>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</si>
  <si>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</si>
  <si>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</si>
  <si>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</si>
  <si>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</si>
  <si>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</si>
  <si>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</si>
  <si>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</si>
  <si>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</si>
  <si>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</si>
  <si>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</si>
  <si>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</si>
  <si>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</si>
  <si>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</si>
  <si>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</si>
  <si>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</si>
  <si>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</si>
  <si>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</si>
  <si>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</si>
  <si>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</si>
  <si>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</si>
  <si>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</si>
  <si>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</si>
  <si>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</si>
  <si>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</si>
  <si>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</si>
  <si>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</si>
  <si>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</si>
  <si>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</si>
  <si>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</si>
  <si>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</si>
  <si>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</si>
  <si>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</si>
  <si>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</si>
  <si>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</si>
  <si>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</si>
  <si>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</si>
  <si>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</si>
  <si>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</si>
  <si>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</si>
  <si>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</si>
  <si>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</si>
  <si>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</si>
  <si>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</si>
  <si>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</si>
  <si>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</si>
  <si>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</si>
  <si>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</si>
  <si>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</si>
  <si>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</si>
  <si>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</si>
  <si>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</si>
  <si>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</si>
  <si>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</si>
  <si>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</si>
  <si>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</si>
  <si>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</si>
  <si>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</si>
  <si>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</si>
  <si>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</si>
  <si>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</si>
  <si>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</si>
  <si>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</si>
  <si>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</si>
  <si>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</si>
  <si>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</si>
  <si>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</si>
  <si>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</si>
  <si>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</si>
  <si>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</si>
  <si>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</si>
  <si>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</si>
  <si>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</si>
  <si>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</si>
  <si>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</si>
  <si>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</si>
  <si>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</si>
  <si>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</si>
  <si>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CACERES</t>
  </si>
  <si>
    <t>Resumenes por Partidos Judiciales</t>
  </si>
  <si>
    <t>NAVALMORAL DE LA MATA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</si>
</sst>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Yla0KOrXtA/v9/VLnEhQLr8Pj8WG1IcWO9f+TMTI2bka0GpE61ZEfSqXlydPQGR5AFUCVmksmaJeLIpc6hFeg==" saltValue="6e2kLT2JKkEnNMfBjS8b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2</v>
      </c>
      <c r="F10" s="226">
        <f>IF(ISNUMBER(Datos!K10),Datos!K10," - ")</f>
        <v>9</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7.2746666666666666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2</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1337</v>
      </c>
      <c r="D16" s="225">
        <f>IF(ISNUMBER(IF(D_I="SI",Datos!I16,Datos!I16+Datos!AC16)),IF(D_I="SI",Datos!I16,Datos!I16+Datos!AC16)," - ")</f>
        <v>1298</v>
      </c>
      <c r="E16" s="226">
        <f>IF(ISNUMBER(IF(D_I="SI",Datos!J16,Datos!J16+Datos!AD16)),IF(D_I="SI",Datos!J16,Datos!J16+Datos!AD16)," - ")</f>
        <v>2789</v>
      </c>
      <c r="F16" s="226">
        <f>IF(ISNUMBER(IF(D_I="SI",Datos!K16,Datos!K16+Datos!AE16)),IF(D_I="SI",Datos!K16,Datos!K16+Datos!AE16)," - ")</f>
        <v>3201</v>
      </c>
      <c r="G16" s="1034" t="str">
        <f>IF(Datos!E16&lt;&gt;"",Datos!E16,Datos!D16)</f>
        <v>04</v>
      </c>
      <c r="H16" s="227">
        <f>IF(ISNUMBER(IF(D_I="SI",Datos!L16,Datos!L16+Datos!AF16)),IF(D_I="SI",Datos!L16,Datos!L16+Datos!AF16)," - ")</f>
        <v>925</v>
      </c>
      <c r="I16" s="1044" t="str">
        <f>IF(ISNUMBER(Datos!AS16/Datos!BM16),Datos!AS16/Datos!BM16," - ")</f>
        <v xml:space="preserve"> - </v>
      </c>
      <c r="J16" s="1045">
        <f>IF(ISNUMBER(Datos!BY16/Datos!CN16),Datos!BY16/Datos!CN16," - ")</f>
        <v>0</v>
      </c>
      <c r="K16" s="230">
        <f t="shared" si="3"/>
        <v>-0.30815258040388932</v>
      </c>
      <c r="L16" s="1025">
        <f>IF(ISNUMBER(NºAsuntos!I16/NºAsuntos!G16),(NºAsuntos!I16/NºAsuntos!G16)*11," - ")</f>
        <v>3.1786941580756012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24</v>
      </c>
      <c r="F17" s="226">
        <f>IF(ISNUMBER(IF(D_I="SI",Datos!K17,Datos!K17+Datos!AE17)),IF(D_I="SI",Datos!K17,Datos!K17+Datos!AE17)," - ")</f>
        <v>59</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-0.83333333333333337</v>
      </c>
      <c r="L17" s="1025">
        <f>IF(ISNUMBER(NºAsuntos!I17/NºAsuntos!G17),(NºAsuntos!I17/NºAsuntos!G17)*11," - ")</f>
        <v>1.3050847457627119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1379</v>
      </c>
      <c r="D18" s="1049">
        <f>SUBTOTAL(9,D15:D17)</f>
        <v>1340</v>
      </c>
      <c r="E18" s="1050">
        <f>SUBTOTAL(9,E15:E17)</f>
        <v>2813</v>
      </c>
      <c r="F18" s="1050">
        <f>SUBTOTAL(9,F15:F17)</f>
        <v>3260</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1386</v>
      </c>
      <c r="D19" s="1071">
        <f>SUBTOTAL(9,D9:D18)</f>
        <v>1347</v>
      </c>
      <c r="E19" s="1072">
        <f>SUBTOTAL(9,E9:E18)</f>
        <v>2815</v>
      </c>
      <c r="F19" s="1072">
        <f>SUBTOTAL(9,F9:F18)</f>
        <v>3269</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8DOaISD5lwgjZOghbvqq5LBwVTrtZF1zMZCic5vYFdDBNgc3Upunq/5AeiLQmkh5rWIffYLKYmy7yvSh0nHDQ==" saltValue="kX1dknwv3hlR7XkatAvRa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kKfVGL/c5+C8wJxFTzMpUsfQONczHXyIPkWJF10CnJMWXLNEMYN1i/Hl1wioX12qG6fRU6NWcl8WGpGuF4OUg==" saltValue="LGoNgX//OYIF0osgasVj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2</v>
      </c>
      <c r="K10" s="181">
        <v>9</v>
      </c>
      <c r="L10" s="181">
        <v>0</v>
      </c>
      <c r="M10" s="181">
        <v>8</v>
      </c>
      <c r="N10" s="181">
        <v>0</v>
      </c>
      <c r="O10" s="181">
        <v>2</v>
      </c>
      <c r="P10" s="181">
        <v>0</v>
      </c>
      <c r="Q10" s="181">
        <v>13</v>
      </c>
      <c r="R10" s="181">
        <v>2</v>
      </c>
      <c r="S10" s="181">
        <v>20</v>
      </c>
      <c r="T10" s="181">
        <v>6</v>
      </c>
      <c r="U10" s="181">
        <v>19</v>
      </c>
      <c r="V10" s="181">
        <v>7</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20</v>
      </c>
      <c r="AZ10" s="129">
        <f t="shared" si="0"/>
        <v>6</v>
      </c>
      <c r="BA10" s="129">
        <f t="shared" si="0"/>
        <v>19</v>
      </c>
      <c r="BB10" s="129">
        <f t="shared" si="0"/>
        <v>7</v>
      </c>
      <c r="BC10" s="125">
        <f t="shared" si="0"/>
        <v>4</v>
      </c>
      <c r="BD10" s="126">
        <f>IF(ISNUMBER(BA10/AZ10),BA10/AZ10," - ")</f>
        <v>3.1666666666666665</v>
      </c>
      <c r="BE10" s="127">
        <f>IF(ISNUMBER(BB10/BA10),BB10/BA10, " - ")</f>
        <v>0.36842105263157893</v>
      </c>
      <c r="BF10" s="127">
        <f>IF(ISNUMBER(BC10/BA10),BC10/BA10, " - ")</f>
        <v>0.21052631578947367</v>
      </c>
      <c r="BG10" s="196">
        <f>IF(ISNUMBER((AY10+AZ10)/BA10),(AY10+AZ10)/BA10," - ")</f>
        <v>1.368421052631579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1634</v>
      </c>
      <c r="J12" s="183">
        <v>2533</v>
      </c>
      <c r="K12" s="183">
        <v>2527</v>
      </c>
      <c r="L12" s="183">
        <v>1693</v>
      </c>
      <c r="M12" s="183">
        <v>795</v>
      </c>
      <c r="N12" s="183">
        <v>1012</v>
      </c>
      <c r="O12" s="181">
        <v>1178</v>
      </c>
      <c r="P12" s="183">
        <v>677</v>
      </c>
      <c r="Q12" s="183">
        <v>804</v>
      </c>
      <c r="R12" s="183">
        <v>2649</v>
      </c>
      <c r="S12" s="183">
        <v>1387</v>
      </c>
      <c r="T12" s="183">
        <v>2024</v>
      </c>
      <c r="U12" s="183">
        <v>1768</v>
      </c>
      <c r="V12" s="183">
        <v>1634</v>
      </c>
      <c r="W12" s="183">
        <v>400</v>
      </c>
      <c r="X12" s="189">
        <v>805</v>
      </c>
      <c r="Y12" s="191">
        <v>67</v>
      </c>
      <c r="Z12" s="181">
        <v>93</v>
      </c>
      <c r="AA12" s="181">
        <v>98</v>
      </c>
      <c r="AB12" s="181">
        <v>43</v>
      </c>
      <c r="AC12" s="183">
        <v>0</v>
      </c>
      <c r="AD12" s="183">
        <v>0</v>
      </c>
      <c r="AE12" s="183">
        <v>0</v>
      </c>
      <c r="AF12" s="189">
        <v>0</v>
      </c>
      <c r="AG12" s="202">
        <v>42</v>
      </c>
      <c r="AH12" s="183">
        <v>131</v>
      </c>
      <c r="AI12" s="183">
        <v>106</v>
      </c>
      <c r="AJ12" s="203">
        <v>67</v>
      </c>
      <c r="AK12" s="182">
        <v>0</v>
      </c>
      <c r="AL12" s="183">
        <v>0</v>
      </c>
      <c r="AM12" s="183">
        <v>0</v>
      </c>
      <c r="AN12" s="189">
        <v>0</v>
      </c>
      <c r="AO12" s="259">
        <v>3</v>
      </c>
      <c r="AP12" s="155">
        <v>3</v>
      </c>
      <c r="AQ12" s="155">
        <v>3</v>
      </c>
      <c r="AR12" s="154">
        <v>3</v>
      </c>
      <c r="AS12" s="340" t="s">
        <v>802</v>
      </c>
      <c r="AT12" s="203"/>
      <c r="AU12" s="202"/>
      <c r="AV12" s="203"/>
      <c r="AW12" s="202"/>
      <c r="AX12" s="203"/>
      <c r="AY12" s="126">
        <f t="shared" si="1"/>
        <v>1429</v>
      </c>
      <c r="AZ12" s="127">
        <f t="shared" si="1"/>
        <v>2155</v>
      </c>
      <c r="BA12" s="127">
        <f t="shared" si="1"/>
        <v>1874</v>
      </c>
      <c r="BB12" s="127">
        <f t="shared" si="1"/>
        <v>1701</v>
      </c>
      <c r="BC12" s="125">
        <f>IF(ISNUMBER(X12),X12," - ")</f>
        <v>805</v>
      </c>
      <c r="BD12" s="126">
        <f t="shared" si="2"/>
        <v>0.86960556844547565</v>
      </c>
      <c r="BE12" s="127">
        <f t="shared" si="3"/>
        <v>0.90768409818569906</v>
      </c>
      <c r="BF12" s="127">
        <f t="shared" si="4"/>
        <v>0.42956243329775878</v>
      </c>
      <c r="BG12" s="196">
        <f t="shared" si="5"/>
        <v>1.9124866595517609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1641</v>
      </c>
      <c r="J13" s="184">
        <f t="shared" si="6"/>
        <v>2535</v>
      </c>
      <c r="K13" s="184">
        <f t="shared" si="6"/>
        <v>2536</v>
      </c>
      <c r="L13" s="184">
        <f t="shared" si="6"/>
        <v>1693</v>
      </c>
      <c r="M13" s="184">
        <f t="shared" si="6"/>
        <v>803</v>
      </c>
      <c r="N13" s="184">
        <f t="shared" si="6"/>
        <v>1012</v>
      </c>
      <c r="O13" s="184">
        <f t="shared" si="6"/>
        <v>1180</v>
      </c>
      <c r="P13" s="184">
        <f t="shared" si="6"/>
        <v>677</v>
      </c>
      <c r="Q13" s="184">
        <f t="shared" si="6"/>
        <v>817</v>
      </c>
      <c r="R13" s="184">
        <f t="shared" si="6"/>
        <v>2651</v>
      </c>
      <c r="S13" s="184">
        <f t="shared" si="6"/>
        <v>1407</v>
      </c>
      <c r="T13" s="184">
        <f t="shared" si="6"/>
        <v>2030</v>
      </c>
      <c r="U13" s="184">
        <f t="shared" si="6"/>
        <v>1787</v>
      </c>
      <c r="V13" s="184">
        <f t="shared" si="6"/>
        <v>1641</v>
      </c>
      <c r="W13" s="184">
        <f t="shared" si="6"/>
        <v>404</v>
      </c>
      <c r="X13" s="184">
        <f t="shared" si="6"/>
        <v>805</v>
      </c>
      <c r="Y13" s="184">
        <f t="shared" si="6"/>
        <v>67</v>
      </c>
      <c r="Z13" s="184">
        <f t="shared" si="6"/>
        <v>93</v>
      </c>
      <c r="AA13" s="184">
        <f t="shared" si="6"/>
        <v>98</v>
      </c>
      <c r="AB13" s="184">
        <f t="shared" si="6"/>
        <v>43</v>
      </c>
      <c r="AC13" s="184">
        <f t="shared" si="6"/>
        <v>0</v>
      </c>
      <c r="AD13" s="184">
        <f t="shared" si="6"/>
        <v>0</v>
      </c>
      <c r="AE13" s="184">
        <f t="shared" si="6"/>
        <v>0</v>
      </c>
      <c r="AF13" s="184">
        <f>SUBTOTAL(9,AF9:AF12)</f>
        <v>0</v>
      </c>
      <c r="AG13" s="184">
        <f t="shared" ref="AG13:AT13" si="7">SUBTOTAL(9,AG8:AG12)</f>
        <v>42</v>
      </c>
      <c r="AH13" s="184">
        <f t="shared" si="7"/>
        <v>131</v>
      </c>
      <c r="AI13" s="184">
        <f t="shared" si="7"/>
        <v>106</v>
      </c>
      <c r="AJ13" s="184">
        <f t="shared" si="7"/>
        <v>67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1449</v>
      </c>
      <c r="AZ13" s="184">
        <f>SUBTOTAL(9,AZ8:AZ12)</f>
        <v>2161</v>
      </c>
      <c r="BA13" s="184">
        <f>SUBTOTAL(9,BA8:BA12)</f>
        <v>1893</v>
      </c>
      <c r="BB13" s="184">
        <f>SUBTOTAL(9,BB8:BB12)</f>
        <v>1708</v>
      </c>
      <c r="BC13" s="184">
        <f>SUBTOTAL(9,BC8:BC12)</f>
        <v>809</v>
      </c>
      <c r="BD13" s="205">
        <f>IF(ISNUMBER(BA13/AZ13),BA13/AZ13," - ")</f>
        <v>0.8759833410458121</v>
      </c>
      <c r="BE13" s="206">
        <f>IF(ISNUMBER(BB13/BA13),BB13/BA13, " - ")</f>
        <v>0.90227152667723187</v>
      </c>
      <c r="BF13" s="206">
        <f>IF(ISNUMBER(BC13/BA13),BC13/BA13, " - ")</f>
        <v>0.42736397253037506</v>
      </c>
      <c r="BG13" s="207">
        <f>IF(ISNUMBER((AY13+AZ13)/BA13),(AY13+AZ13)/BA13," - ")</f>
        <v>1.9070258848388801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1298</v>
      </c>
      <c r="J16" s="183">
        <v>2789</v>
      </c>
      <c r="K16" s="183">
        <v>3201</v>
      </c>
      <c r="L16" s="183">
        <v>925</v>
      </c>
      <c r="M16" s="183">
        <v>457</v>
      </c>
      <c r="N16" s="183">
        <v>1670</v>
      </c>
      <c r="O16" s="181">
        <v>53</v>
      </c>
      <c r="P16" s="183">
        <v>115</v>
      </c>
      <c r="Q16" s="183">
        <v>72</v>
      </c>
      <c r="R16" s="183">
        <v>136</v>
      </c>
      <c r="S16" s="183">
        <v>1099</v>
      </c>
      <c r="T16" s="183">
        <v>2388</v>
      </c>
      <c r="U16" s="183">
        <v>2166</v>
      </c>
      <c r="V16" s="183">
        <v>1298</v>
      </c>
      <c r="W16" s="183">
        <v>308</v>
      </c>
      <c r="X16" s="189">
        <v>1183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1099</v>
      </c>
      <c r="AZ16" s="127">
        <f t="shared" si="9"/>
        <v>2388</v>
      </c>
      <c r="BA16" s="127">
        <f t="shared" si="9"/>
        <v>2166</v>
      </c>
      <c r="BB16" s="127">
        <f t="shared" si="9"/>
        <v>1298</v>
      </c>
      <c r="BC16" s="125">
        <f>IF(ISNUMBER(W16),W16," - ")</f>
        <v>308</v>
      </c>
      <c r="BD16" s="126">
        <f t="shared" ref="BD16" si="11">IF(ISNUMBER(BA16/AZ16),BA16/AZ16," - ")</f>
        <v>0.90703517587939697</v>
      </c>
      <c r="BE16" s="127">
        <f t="shared" ref="BE16" si="12">IF(ISNUMBER(BB16/BA16),BB16/BA16, " - ")</f>
        <v>0.59926131117266856</v>
      </c>
      <c r="BF16" s="127">
        <f t="shared" ref="BF16" si="13">IF(ISNUMBER(BC16/BA16),BC16/BA16, " - ")</f>
        <v>0.14219759926131118</v>
      </c>
      <c r="BG16" s="196">
        <f t="shared" si="10"/>
        <v>1.6098799630655587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24</v>
      </c>
      <c r="K17" s="183">
        <v>59</v>
      </c>
      <c r="L17" s="183">
        <v>7</v>
      </c>
      <c r="M17" s="183">
        <v>5</v>
      </c>
      <c r="N17" s="183">
        <v>4</v>
      </c>
      <c r="O17" s="183">
        <v>0</v>
      </c>
      <c r="P17" s="183">
        <v>0</v>
      </c>
      <c r="Q17" s="183">
        <v>0</v>
      </c>
      <c r="R17" s="183">
        <v>0</v>
      </c>
      <c r="S17" s="183">
        <v>109</v>
      </c>
      <c r="T17" s="183">
        <v>52</v>
      </c>
      <c r="U17" s="183">
        <v>138</v>
      </c>
      <c r="V17" s="183">
        <v>42</v>
      </c>
      <c r="W17" s="183">
        <v>4</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109</v>
      </c>
      <c r="AZ17" s="129">
        <f t="shared" si="14"/>
        <v>52</v>
      </c>
      <c r="BA17" s="129">
        <f t="shared" si="14"/>
        <v>138</v>
      </c>
      <c r="BB17" s="129">
        <f t="shared" si="14"/>
        <v>42</v>
      </c>
      <c r="BC17" s="125">
        <f>IF(ISNUMBER(W17),W17," - ")</f>
        <v>4</v>
      </c>
      <c r="BD17" s="126">
        <f>IF(ISNUMBER(BA17/AZ17),BA17/AZ17," - ")</f>
        <v>2.6538461538461537</v>
      </c>
      <c r="BE17" s="127">
        <f>IF(ISNUMBER(BB17/BA17),BB17/BA17, " - ")</f>
        <v>0.30434782608695654</v>
      </c>
      <c r="BF17" s="127">
        <f>IF(ISNUMBER(BC17/BA17),BC17/BA17, " - ")</f>
        <v>2.8985507246376812E-2</v>
      </c>
      <c r="BG17" s="196">
        <f>IF(ISNUMBER((AY17+AZ17)/BA17),(AY17+AZ17)/BA17," - ")</f>
        <v>1.1666666666666667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1340</v>
      </c>
      <c r="J18" s="184">
        <f t="shared" si="15"/>
        <v>2813</v>
      </c>
      <c r="K18" s="184">
        <f t="shared" si="15"/>
        <v>3260</v>
      </c>
      <c r="L18" s="184">
        <f t="shared" si="15"/>
        <v>932</v>
      </c>
      <c r="M18" s="184">
        <f t="shared" si="15"/>
        <v>462</v>
      </c>
      <c r="N18" s="184">
        <f t="shared" si="15"/>
        <v>1674</v>
      </c>
      <c r="O18" s="184">
        <f t="shared" si="15"/>
        <v>53</v>
      </c>
      <c r="P18" s="184">
        <f t="shared" si="15"/>
        <v>115</v>
      </c>
      <c r="Q18" s="184">
        <f t="shared" si="15"/>
        <v>72</v>
      </c>
      <c r="R18" s="184">
        <f t="shared" si="15"/>
        <v>136</v>
      </c>
      <c r="S18" s="184">
        <f t="shared" si="15"/>
        <v>1208</v>
      </c>
      <c r="T18" s="184">
        <f t="shared" si="15"/>
        <v>2440</v>
      </c>
      <c r="U18" s="184">
        <f t="shared" si="15"/>
        <v>2304</v>
      </c>
      <c r="V18" s="184">
        <f t="shared" si="15"/>
        <v>1340</v>
      </c>
      <c r="W18" s="184">
        <f t="shared" si="15"/>
        <v>312</v>
      </c>
      <c r="X18" s="184">
        <f t="shared" si="15"/>
        <v>1234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1208</v>
      </c>
      <c r="AZ18" s="184">
        <f>SUBTOTAL(9,AZ14:AZ17)</f>
        <v>2440</v>
      </c>
      <c r="BA18" s="184">
        <f>SUBTOTAL(9,BA14:BA17)</f>
        <v>2304</v>
      </c>
      <c r="BB18" s="184">
        <f>SUBTOTAL(9,BB14:BB17)</f>
        <v>1340</v>
      </c>
      <c r="BC18" s="184">
        <f>SUBTOTAL(9,BC14:BC17)</f>
        <v>312</v>
      </c>
      <c r="BD18" s="205">
        <f>IF(ISNUMBER(BA18/AZ18),BA18/AZ18," - ")</f>
        <v>0.94426229508196724</v>
      </c>
      <c r="BE18" s="206">
        <f>IF(ISNUMBER(BB18/BA18),BB18/BA18, " - ")</f>
        <v>0.58159722222222221</v>
      </c>
      <c r="BF18" s="206">
        <f>IF(ISNUMBER(BC18/BA18),BC18/BA18, " - ")</f>
        <v>0.13541666666666666</v>
      </c>
      <c r="BG18" s="207">
        <f>IF(ISNUMBER((AY18+AZ18)/BA18),(AY18+AZ18)/BA18," - ")</f>
        <v>1.5833333333333333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2981</v>
      </c>
      <c r="J19" s="134">
        <f t="shared" si="18"/>
        <v>5348</v>
      </c>
      <c r="K19" s="134">
        <f t="shared" si="18"/>
        <v>5796</v>
      </c>
      <c r="L19" s="134">
        <f t="shared" si="18"/>
        <v>2625</v>
      </c>
      <c r="M19" s="134">
        <f t="shared" si="18"/>
        <v>1265</v>
      </c>
      <c r="N19" s="134">
        <f t="shared" si="18"/>
        <v>2686</v>
      </c>
      <c r="O19" s="134">
        <f t="shared" si="18"/>
        <v>1233</v>
      </c>
      <c r="P19" s="134">
        <f t="shared" si="18"/>
        <v>792</v>
      </c>
      <c r="Q19" s="134">
        <f t="shared" si="18"/>
        <v>889</v>
      </c>
      <c r="R19" s="134">
        <f t="shared" si="18"/>
        <v>2787</v>
      </c>
      <c r="S19" s="134">
        <f t="shared" si="18"/>
        <v>2615</v>
      </c>
      <c r="T19" s="134">
        <f t="shared" si="18"/>
        <v>4470</v>
      </c>
      <c r="U19" s="134">
        <f t="shared" si="18"/>
        <v>4091</v>
      </c>
      <c r="V19" s="134">
        <f t="shared" si="18"/>
        <v>2981</v>
      </c>
      <c r="W19" s="134">
        <f t="shared" si="18"/>
        <v>716</v>
      </c>
      <c r="X19" s="134">
        <f t="shared" si="18"/>
        <v>2039</v>
      </c>
      <c r="Y19" s="134">
        <f t="shared" si="18"/>
        <v>67</v>
      </c>
      <c r="Z19" s="134">
        <f t="shared" si="18"/>
        <v>93</v>
      </c>
      <c r="AA19" s="134">
        <f t="shared" si="18"/>
        <v>98</v>
      </c>
      <c r="AB19" s="134">
        <f t="shared" si="18"/>
        <v>43</v>
      </c>
      <c r="AC19" s="134">
        <f t="shared" si="18"/>
        <v>0</v>
      </c>
      <c r="AD19" s="134">
        <f t="shared" si="18"/>
        <v>0</v>
      </c>
      <c r="AE19" s="134">
        <f t="shared" si="18"/>
        <v>0</v>
      </c>
      <c r="AF19" s="134">
        <f t="shared" si="18"/>
        <v>0</v>
      </c>
      <c r="AG19" s="134">
        <f t="shared" si="18"/>
        <v>42</v>
      </c>
      <c r="AH19" s="134">
        <f t="shared" si="18"/>
        <v>131</v>
      </c>
      <c r="AI19" s="134">
        <f t="shared" si="18"/>
        <v>106</v>
      </c>
      <c r="AJ19" s="134">
        <f t="shared" si="18"/>
        <v>67</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2657</v>
      </c>
      <c r="AZ19" s="134">
        <f>SUBTOTAL(9,AZ9:AZ18)</f>
        <v>4601</v>
      </c>
      <c r="BA19" s="134">
        <f>SUBTOTAL(9,BA9:BA18)</f>
        <v>4197</v>
      </c>
      <c r="BB19" s="134">
        <f>SUBTOTAL(9,BB9:BB18)</f>
        <v>3048</v>
      </c>
      <c r="BC19" s="135">
        <f>SUBTOTAL(9,BC9:BC18)</f>
        <v>1121</v>
      </c>
      <c r="BD19" s="213">
        <f>IF(ISNUMBER(BA19/AZ19),BA19/AZ19," - ")</f>
        <v>0.91219300152140836</v>
      </c>
      <c r="BE19" s="210">
        <f>IF(ISNUMBER(BB19/BA19),BB19/BA19, " - ")</f>
        <v>0.72623302358827735</v>
      </c>
      <c r="BF19" s="210">
        <f>IF(ISNUMBER(BC19/BA19),BC19/BA19, " - ")</f>
        <v>0.26709554443650224</v>
      </c>
      <c r="BG19" s="135">
        <f>IF(ISNUMBER((AY19+AZ19)/BA19),(AY19+AZ19)/BA19," - ")</f>
        <v>1.7293304741482012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GSufQtjNUINmDW2+/1dXH33ujRn0yOLfwaRHuhrfG2LoBhEdsGacPXogOs7upc23xiDZiSSlJ0InsTP3m5zg==" saltValue="dkKWUTNLYCRxzGofrhEV4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8TiaJ9Co9pkKagx9dy6Xnl51Hps+tmnNmeEejwMt1c9RgV9iktBOnALxfa1V8S0F6js40vLq2lPfVlXy9vQ==" saltValue="4NmZnoKDEc66Zy2DyarOH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13</v>
      </c>
      <c r="AD10" s="334"/>
      <c r="AE10" s="484"/>
      <c r="AF10" s="332">
        <f>IF(ISNUMBER(Datos!L10),Datos!L10,"-")</f>
        <v>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4.5</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-0.8666666666666667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93</v>
      </c>
      <c r="O12" s="334"/>
      <c r="P12" s="334"/>
      <c r="Q12" s="226">
        <f>IF(ISNUMBER(Datos!P12),Datos!P12,0)</f>
        <v>677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43</v>
      </c>
      <c r="AI12" s="334" t="str">
        <f>IF(ISNUMBER(Datos!CD12),Datos!CD12,"-")</f>
        <v>-</v>
      </c>
      <c r="AJ12" s="334" t="str">
        <f>IF(ISNUMBER(Datos!EN12),Datos!EN12," - ")</f>
        <v xml:space="preserve"> - </v>
      </c>
      <c r="AK12" s="334"/>
      <c r="AL12" s="479"/>
      <c r="AM12" s="335">
        <f>IF(ISNUMBER(Datos!R12),Datos!R12," - ")</f>
        <v>2649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795</v>
      </c>
      <c r="BD12" s="229">
        <f>IF(ISNUMBER(Datos!N12),Datos!N12," - ")</f>
        <v>1012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0.99961919268849964</v>
      </c>
      <c r="BH12" s="260">
        <f>IF(ISNUMBER(((IF(J_V="SI",Datos!L12/Datos!K12,(Datos!L12+Datos!AB12)/(Datos!K12+Datos!AA12)))*11)/factor_trimestre),((IF(J_V="SI",Datos!L12/Datos!K12,(Datos!L12+Datos!AB12)/(Datos!K12+Datos!AA12)))*11)/factor_trimestre," - ")</f>
        <v>7.2746666666666666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-4.5749279538904897E-2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93</v>
      </c>
      <c r="O13" s="900">
        <f t="shared" si="0"/>
        <v>0</v>
      </c>
      <c r="P13" s="900">
        <f t="shared" si="0"/>
        <v>0</v>
      </c>
      <c r="Q13" s="899">
        <f t="shared" si="0"/>
        <v>677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817</v>
      </c>
      <c r="AD13" s="899">
        <f t="shared" si="1"/>
        <v>0</v>
      </c>
      <c r="AE13" s="899">
        <f t="shared" si="1"/>
        <v>0</v>
      </c>
      <c r="AF13" s="899">
        <f t="shared" si="1"/>
        <v>0</v>
      </c>
      <c r="AG13" s="899">
        <f t="shared" si="1"/>
        <v>0</v>
      </c>
      <c r="AH13" s="899">
        <f t="shared" si="1"/>
        <v>43</v>
      </c>
      <c r="AI13" s="899">
        <f t="shared" si="1"/>
        <v>0</v>
      </c>
      <c r="AJ13" s="899">
        <f t="shared" si="1"/>
        <v>0</v>
      </c>
      <c r="AK13" s="899">
        <f t="shared" si="1"/>
        <v>0</v>
      </c>
      <c r="AL13" s="899">
        <f t="shared" si="1"/>
        <v>0</v>
      </c>
      <c r="AM13" s="899">
        <f t="shared" si="1"/>
        <v>2651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803</v>
      </c>
      <c r="BD13" s="899">
        <f t="shared" si="1"/>
        <v>1012</v>
      </c>
      <c r="BE13" s="899">
        <f t="shared" si="1"/>
        <v>0</v>
      </c>
      <c r="BF13" s="899">
        <f t="shared" si="1"/>
        <v>0</v>
      </c>
      <c r="BG13" s="899">
        <f>IF(ISNUMBER(Datos!K13/Datos!J13),Datos!K13/Datos!J13," - ")</f>
        <v>1.0003944773175542</v>
      </c>
      <c r="BH13" s="903">
        <f>IF(ISNUMBER(((Datos!L13/Datos!K13)*11)/factor_trimestre),((Datos!L13/Datos!K13)*11)/factor_trimestre," - ")</f>
        <v>7.3434542586750782</v>
      </c>
      <c r="BI13" s="899">
        <f>IF(ISNUMBER('Resol  Asuntos'!D13/NºAsuntos!G13),'Resol  Asuntos'!D13/NºAsuntos!G13," - ")</f>
        <v>0.30485952923310555</v>
      </c>
      <c r="BJ13" s="899" t="str">
        <f>IF(ISNUMBER(Datos!CI13/Datos!CJ13),Datos!CI13/Datos!CJ13," - ")</f>
        <v xml:space="preserve"> - </v>
      </c>
      <c r="BK13" s="899">
        <f>SUBTOTAL(9,BK8:BK12)</f>
        <v>0</v>
      </c>
      <c r="BL13" s="899">
        <f>IF(ISNUMBER((I13-AB13+L13)/(F13)),(I13-AB13+L13)/(F13)," - ")</f>
        <v>-1.2857142857142858</v>
      </c>
      <c r="BM13" s="904">
        <f>SUBTOTAL(9,BM9:BM12)</f>
        <v>-0.91241594620557165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1337</v>
      </c>
      <c r="G16" s="598">
        <f>IF(ISNUMBER(IF(D_I="SI",Datos!I16,Datos!I16+Datos!AC16)),IF(D_I="SI",Datos!I16,Datos!I16+Datos!AC16)," - ")</f>
        <v>1298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3201</v>
      </c>
      <c r="AC16" s="226">
        <f>IF(ISNUMBER(Datos!Q16),Datos!Q16," - ")</f>
        <v>72</v>
      </c>
      <c r="AD16" s="334"/>
      <c r="AE16" s="484"/>
      <c r="AF16" s="596">
        <f>IF(ISNUMBER(IF(D_I="SI",Datos!L16,Datos!L16+Datos!AF16)),IF(D_I="SI",Datos!L16,Datos!L16+Datos!AF16)," - ")</f>
        <v>925</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457</v>
      </c>
      <c r="BD16" s="229">
        <f>IF(ISNUMBER(Datos!N16),Datos!N16," - ")</f>
        <v>1670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1.1477231982789531</v>
      </c>
      <c r="BH16" s="260">
        <f>IF(ISNUMBER(((IF(D_I="SI",Datos!L16/Datos!K16,(Datos!L16+Datos!AF16)/(Datos!K16+Datos!AE16)))*11)/factor_trimestre),((IF(D_I="SI",Datos!L16/Datos!K16,(Datos!L16+Datos!AF16)/(Datos!K16+Datos!AE16)))*11)/factor_trimestre," - ")</f>
        <v>3.1786941580756012</v>
      </c>
      <c r="BI16" s="243">
        <f>IF(ISNUMBER('Resol  Asuntos'!D16/NºAsuntos!G16),'Resol  Asuntos'!D16/NºAsuntos!G16," - ")</f>
        <v>0.14276788503592627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2.4583333333333335</v>
      </c>
      <c r="BH17" s="260">
        <f>IF(ISNUMBER(((IF(D_I="SI",Datos!L17/Datos!K17,(Datos!L17+Datos!AF17)/(Datos!K17+Datos!AE17)))*11)/factor_trimestre),((IF(D_I="SI",Datos!L17/Datos!K17,(Datos!L17+Datos!AF17)/(Datos!K17+Datos!AE17)))*11)/factor_trimestre," - ")</f>
        <v>1.3050847457627119</v>
      </c>
      <c r="BI17" s="243">
        <f>IF(ISNUMBER('Resol  Asuntos'!D17/NºAsuntos!G17),'Resol  Asuntos'!D17/NºAsuntos!G17," - ")</f>
        <v>8.4745762711864403E-2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1337</v>
      </c>
      <c r="G18" s="898">
        <f>SUBTOTAL(9,G15:G17)</f>
        <v>1340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3260</v>
      </c>
      <c r="AC18" s="899">
        <f t="shared" si="4"/>
        <v>72</v>
      </c>
      <c r="AD18" s="899">
        <f t="shared" si="4"/>
        <v>0</v>
      </c>
      <c r="AE18" s="899">
        <f t="shared" si="4"/>
        <v>0</v>
      </c>
      <c r="AF18" s="899">
        <f t="shared" si="4"/>
        <v>932</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462</v>
      </c>
      <c r="BD18" s="899">
        <f t="shared" si="4"/>
        <v>1674</v>
      </c>
      <c r="BE18" s="899">
        <f t="shared" si="4"/>
        <v>0</v>
      </c>
      <c r="BF18" s="899">
        <f t="shared" si="4"/>
        <v>0</v>
      </c>
      <c r="BG18" s="899">
        <f>IF(ISNUMBER(Datos!K18/Datos!J18),Datos!K18/Datos!J18," - ")</f>
        <v>1.158905083540704</v>
      </c>
      <c r="BH18" s="903">
        <f>IF(ISNUMBER(((Datos!L18/Datos!K18)*11)/factor_trimestre),((Datos!L18/Datos!K18)*11)/factor_trimestre," - ")</f>
        <v>3.1447852760736197</v>
      </c>
      <c r="BI18" s="899">
        <f>SUBTOTAL(9,BI15:BI17)</f>
        <v>0.22751364774779068</v>
      </c>
      <c r="BJ18" s="899">
        <f>SUBTOTAL(9,BJ15:BJ17)</f>
        <v>0</v>
      </c>
      <c r="BK18" s="899">
        <f>SUBTOTAL(9,BK15:BK17)</f>
        <v>0</v>
      </c>
      <c r="BL18" s="899">
        <f>IF(ISNUMBER((I18-AB18+L18)/(F18)),(I18-AB18+L18)/(F18)," - ")</f>
        <v>-2.4382946896035902</v>
      </c>
      <c r="BM18" s="905">
        <f>IF(ISNUMBER((Datos!P18-Datos!Q18)/(Datos!R18-Datos!P18+Datos!Q18)),(Datos!P18-Datos!Q18)/(Datos!R18-Datos!P18+Datos!Q18)," - ")</f>
        <v>0.46236559139784944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1344</v>
      </c>
      <c r="G19" s="820">
        <f t="shared" si="6"/>
        <v>1347</v>
      </c>
      <c r="H19" s="822">
        <f t="shared" si="6"/>
        <v>0</v>
      </c>
      <c r="I19" s="820">
        <f t="shared" si="6"/>
        <v>0</v>
      </c>
      <c r="J19" s="822">
        <f t="shared" si="6"/>
        <v>0</v>
      </c>
      <c r="K19" s="822">
        <f t="shared" si="6"/>
        <v>0</v>
      </c>
      <c r="L19" s="881">
        <f t="shared" si="6"/>
        <v>0</v>
      </c>
      <c r="M19" s="881">
        <f t="shared" si="6"/>
        <v>0</v>
      </c>
      <c r="N19" s="881">
        <f t="shared" si="6"/>
        <v>93</v>
      </c>
      <c r="O19" s="881">
        <f t="shared" si="6"/>
        <v>0</v>
      </c>
      <c r="P19" s="881">
        <f t="shared" si="6"/>
        <v>0</v>
      </c>
      <c r="Q19" s="822">
        <f t="shared" si="6"/>
        <v>792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3269</v>
      </c>
      <c r="AC19" s="821">
        <f t="shared" si="7"/>
        <v>889</v>
      </c>
      <c r="AD19" s="821">
        <f t="shared" si="7"/>
        <v>0</v>
      </c>
      <c r="AE19" s="821">
        <f t="shared" si="7"/>
        <v>0</v>
      </c>
      <c r="AF19" s="828">
        <f t="shared" si="7"/>
        <v>932</v>
      </c>
      <c r="AG19" s="828">
        <f t="shared" si="7"/>
        <v>0</v>
      </c>
      <c r="AH19" s="828">
        <f t="shared" si="7"/>
        <v>43</v>
      </c>
      <c r="AI19" s="828">
        <f t="shared" si="7"/>
        <v>0</v>
      </c>
      <c r="AJ19" s="821">
        <f t="shared" si="7"/>
        <v>0</v>
      </c>
      <c r="AK19" s="828">
        <f t="shared" si="7"/>
        <v>0</v>
      </c>
      <c r="AL19" s="828">
        <f t="shared" si="7"/>
        <v>0</v>
      </c>
      <c r="AM19" s="828">
        <f t="shared" si="7"/>
        <v>2787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1265</v>
      </c>
      <c r="BD19" s="820">
        <f t="shared" si="7"/>
        <v>2686</v>
      </c>
      <c r="BE19" s="820">
        <f t="shared" si="7"/>
        <v>0</v>
      </c>
      <c r="BF19" s="830">
        <f t="shared" si="7"/>
        <v>0</v>
      </c>
      <c r="BG19" s="915">
        <f>IF(ISNUMBER(Datos!K19/Datos!J19),Datos!K19/Datos!J19," - ")</f>
        <v>1.0837696335078535</v>
      </c>
      <c r="BH19" s="915">
        <f>IF(ISNUMBER(((Datos!L19/Datos!K19)*11)/factor_trimestre),((Datos!L19/Datos!K19)*11)/factor_trimestre," - ")</f>
        <v>4.9818840579710146</v>
      </c>
      <c r="BI19" s="813">
        <f>IF(ISNUMBER(Datos!J19/Datos!I19),Datos!J19/Datos!I19," - ")</f>
        <v>1.794028849379403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-2.4322916666666665</v>
      </c>
      <c r="BM19" s="889">
        <f>IF(ISNUMBER((Datos!P19-Datos!Q19+R19)/(Datos!R19-Datos!P19+Datos!Q19-R19)),(Datos!P19-Datos!Q19+R19)/(Datos!R19-Datos!P19+Datos!Q19-R19)," - ")</f>
        <v>-3.363384188626907E-2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538.79999999999995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767.87585802220224</v>
      </c>
      <c r="G21" s="552">
        <f>IF(ISNUMBER(STDEV(G8:G18)),STDEV(G8:G18),"-")</f>
        <v>712.5199646325708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1755.602118932419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355.64008023093606</v>
      </c>
      <c r="BD21" s="551"/>
      <c r="BE21" s="551">
        <f>IF(ISNUMBER(STDEV(BE8:BE18)),STDEV(BE8:BE18),"-")</f>
        <v>0</v>
      </c>
      <c r="BF21" s="556">
        <f>IF(ISNUMBER(STDEV(BF8:BF18)),STDEV(BF8:BF18),"-")</f>
        <v>0</v>
      </c>
      <c r="BG21" s="775">
        <f>IF(ISNUMBER(STDEV(BG8:BG18)),STDEV(BG8:BG18),"-")</f>
        <v>1.4002724917005682</v>
      </c>
      <c r="BH21" s="776">
        <f>IF(ISNUMBER(STDEV(BH8:BH18)),STDEV(BH8:BH18),"-")</f>
        <v>3.0350709945060874</v>
      </c>
      <c r="BI21" s="249">
        <f>IF(ISNUMBER(STDEV(BI8:BI18)),STDEV(BI8:BI18),"-")</f>
        <v>9.6452594870782768E-2</v>
      </c>
      <c r="BJ21" s="230" t="str">
        <f>IF(ISNUMBER(BL21/BM21),BL21/BM21," - ")</f>
        <v xml:space="preserve"> - </v>
      </c>
      <c r="BK21" s="575"/>
      <c r="BL21" s="559">
        <f>IF(ISNUMBER(STDEV(BL8:BL18)),STDEV(BL8:BL18),"-")</f>
        <v>0.81499741945285742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B05pmqAa7NR/mVoD8ZRVtigR0B9M/wiMmRVSPk+zXV6hFI2M3NNByAs1wofJ7V4CbCtGcJa5kEbdQ+1mus9UA==" saltValue="yxp6L/5uq5GGIoLEL6WF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CACERES  Resumenes por Partidos Judiciales  NAVALMORAL DE LA MATA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13</v>
      </c>
      <c r="AA10" s="332">
        <f>IF(ISNUMBER(Datos!L10),Datos!L10,"-")</f>
        <v>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-0.8666666666666667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804</v>
      </c>
      <c r="AA12" s="332" t="str">
        <f>IF(ISNUMBER(IF(J_V="SI",Datos!L12,Datos!L12+Datos!AB12)-IF(Monitorios="SI",Datos!CD12,0)),
                          IF(J_V="SI",Datos!L12,Datos!L12+Datos!AB12)-IF(Monitorios="SI",Datos!CD12,0),
                          " - ")</f>
        <v xml:space="preserve"> - </v>
      </c>
      <c r="AB12" s="334"/>
      <c r="AC12" s="334"/>
      <c r="AD12" s="484"/>
      <c r="AE12" s="484">
        <f>IF(ISNUMBER(Datos!R12),Datos!R12," - ")</f>
        <v>2649</v>
      </c>
      <c r="AF12" s="229" t="str">
        <f>IF(ISNUMBER(Datos!BV12),Datos!BV12," - ")</f>
        <v xml:space="preserve"> - </v>
      </c>
      <c r="AG12" s="225" t="str">
        <f>IF(ISNUMBER(Datos!DV12),Datos!DV12," - ")</f>
        <v xml:space="preserve"> - </v>
      </c>
      <c r="AH12" s="298"/>
      <c r="AI12" s="227"/>
      <c r="AJ12" s="225">
        <f>IF(ISNUMBER(Datos!M12),Datos!M12," - ")</f>
        <v>795</v>
      </c>
      <c r="AK12" s="229">
        <f>IF(ISNUMBER(Datos!N12),Datos!N12," - ")</f>
        <v>1012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7.2746666666666666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-4.5749279538904897E-2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677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817</v>
      </c>
      <c r="AA13" s="900">
        <f t="shared" si="2"/>
        <v>0</v>
      </c>
      <c r="AB13" s="900">
        <f t="shared" si="2"/>
        <v>0</v>
      </c>
      <c r="AC13" s="900">
        <f t="shared" si="2"/>
        <v>0</v>
      </c>
      <c r="AD13" s="900">
        <f t="shared" si="2"/>
        <v>0</v>
      </c>
      <c r="AE13" s="900">
        <f t="shared" si="2"/>
        <v>2651</v>
      </c>
      <c r="AF13" s="908">
        <f t="shared" si="2"/>
        <v>0</v>
      </c>
      <c r="AG13" s="908">
        <f t="shared" si="2"/>
        <v>0</v>
      </c>
      <c r="AH13" s="908">
        <f t="shared" si="2"/>
        <v>0</v>
      </c>
      <c r="AI13" s="908">
        <f t="shared" si="2"/>
        <v>0</v>
      </c>
      <c r="AJ13" s="908">
        <f t="shared" si="2"/>
        <v>803</v>
      </c>
      <c r="AK13" s="908">
        <f t="shared" si="2"/>
        <v>1012</v>
      </c>
      <c r="AL13" s="908">
        <f t="shared" si="2"/>
        <v>0</v>
      </c>
      <c r="AM13" s="908">
        <f t="shared" si="2"/>
        <v>0</v>
      </c>
      <c r="AN13" s="908">
        <f t="shared" si="2"/>
        <v>0</v>
      </c>
      <c r="AO13" s="904">
        <f>IF(ISNUMBER(((NºAsuntos!I13/NºAsuntos!G13)*11)/factor_trimestre),((NºAsuntos!I13/NºAsuntos!G13)*11)/factor_trimestre," - ")</f>
        <v>7.2498101746393324</v>
      </c>
      <c r="AP13" s="910" t="str">
        <f>IF(ISNUMBER(Datos!CI13/Datos!CJ13),Datos!CI13/Datos!CJ13," - ")</f>
        <v xml:space="preserve"> - </v>
      </c>
      <c r="AQ13" s="928">
        <f t="shared" ref="AQ13:AV13" si="3">SUBTOTAL(9,AQ9:AQ12)</f>
        <v>0</v>
      </c>
      <c r="AR13" s="928">
        <f t="shared" si="3"/>
        <v>-0.91241594620557165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1337</v>
      </c>
      <c r="G16" s="225">
        <f>IF(ISNUMBER(IF(D_I="SI",Datos!I16,Datos!I16+Datos!AC16)),IF(D_I="SI",Datos!I16,Datos!I16+Datos!AC16)," - ")</f>
        <v>1298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3201</v>
      </c>
      <c r="Z16" s="619">
        <f>IF(ISNUMBER(Datos!Q16),Datos!Q16," - ")</f>
        <v>72</v>
      </c>
      <c r="AA16" s="332">
        <f>IF(ISNUMBER(IF(D_I="SI",Datos!L16,Datos!L16+Datos!AF16)),IF(D_I="SI",Datos!L16,Datos!L16+Datos!AF16)," - ")</f>
        <v>925</v>
      </c>
      <c r="AB16" s="334"/>
      <c r="AC16" s="334"/>
      <c r="AD16" s="484"/>
      <c r="AE16" s="484">
        <f>IF(ISNUMBER(Datos!R16),Datos!R16," - ")</f>
        <v>136</v>
      </c>
      <c r="AF16" s="229" t="str">
        <f>IF(ISNUMBER(Datos!BV16),Datos!BV16," - ")</f>
        <v xml:space="preserve"> - </v>
      </c>
      <c r="AG16" s="225"/>
      <c r="AH16" s="298"/>
      <c r="AI16" s="227"/>
      <c r="AJ16" s="225">
        <f>IF(ISNUMBER(Datos!M16),Datos!M16," - ")</f>
        <v>457</v>
      </c>
      <c r="AK16" s="229">
        <f>IF(ISNUMBER(Datos!N16),Datos!N16," - ")</f>
        <v>1670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3.1786941580756012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1.3050847457627119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1337</v>
      </c>
      <c r="G18" s="898">
        <f>SUBTOTAL(9,G15:G17)</f>
        <v>1340</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3260</v>
      </c>
      <c r="Z18" s="932">
        <f t="shared" si="5"/>
        <v>72</v>
      </c>
      <c r="AA18" s="932">
        <f t="shared" si="5"/>
        <v>932</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462</v>
      </c>
      <c r="AK18" s="932">
        <f t="shared" si="5"/>
        <v>1674</v>
      </c>
      <c r="AL18" s="932">
        <f t="shared" si="5"/>
        <v>0</v>
      </c>
      <c r="AM18" s="932">
        <f t="shared" si="5"/>
        <v>0</v>
      </c>
      <c r="AN18" s="932">
        <f t="shared" si="5"/>
        <v>0</v>
      </c>
      <c r="AO18" s="934">
        <f>IF(ISNUMBER(((NºAsuntos!I18/NºAsuntos!G18)*11)/factor_trimestre),((NºAsuntos!I18/NºAsuntos!G18)*11)/factor_trimestre," - ")</f>
        <v>3.1447852760736197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1344</v>
      </c>
      <c r="G19" s="820">
        <f t="shared" si="7"/>
        <v>1347</v>
      </c>
      <c r="H19" s="821">
        <f t="shared" si="7"/>
        <v>0</v>
      </c>
      <c r="I19" s="820">
        <f t="shared" si="7"/>
        <v>0</v>
      </c>
      <c r="J19" s="822">
        <f t="shared" si="7"/>
        <v>0</v>
      </c>
      <c r="K19" s="820">
        <f t="shared" si="7"/>
        <v>0</v>
      </c>
      <c r="L19" s="823">
        <f t="shared" si="7"/>
        <v>0</v>
      </c>
      <c r="M19" s="820">
        <f t="shared" si="7"/>
        <v>0</v>
      </c>
      <c r="N19" s="821">
        <f t="shared" si="7"/>
        <v>792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3269</v>
      </c>
      <c r="Z19" s="827">
        <f t="shared" si="8"/>
        <v>889</v>
      </c>
      <c r="AA19" s="828">
        <f t="shared" si="8"/>
        <v>932</v>
      </c>
      <c r="AB19" s="828">
        <f t="shared" si="8"/>
        <v>0</v>
      </c>
      <c r="AC19" s="828">
        <f t="shared" si="8"/>
        <v>0</v>
      </c>
      <c r="AD19" s="829">
        <f t="shared" si="8"/>
        <v>0</v>
      </c>
      <c r="AE19" s="829">
        <f t="shared" si="8"/>
        <v>2787</v>
      </c>
      <c r="AF19" s="830">
        <f t="shared" si="8"/>
        <v>0</v>
      </c>
      <c r="AG19" s="831">
        <f t="shared" si="8"/>
        <v>0</v>
      </c>
      <c r="AH19" s="832">
        <f t="shared" si="8"/>
        <v>0</v>
      </c>
      <c r="AI19" s="830">
        <f t="shared" si="8"/>
        <v>0</v>
      </c>
      <c r="AJ19" s="820">
        <f t="shared" si="8"/>
        <v>1265</v>
      </c>
      <c r="AK19" s="820">
        <f t="shared" si="8"/>
        <v>2686</v>
      </c>
      <c r="AL19" s="820">
        <f t="shared" si="8"/>
        <v>0</v>
      </c>
      <c r="AM19" s="833">
        <f t="shared" si="8"/>
        <v>0</v>
      </c>
      <c r="AN19" s="823">
        <f>IF(ISNUMBER(Datos!K19/Datos!J19),Datos!K19/Datos!J19," - ")</f>
        <v>1.0837696335078535</v>
      </c>
      <c r="AO19" s="823">
        <f>IF(ISNUMBER(FIND("06",Criterios!A8,1)),(IF(ISNUMBER(((Datos!R19/Datos!Q19)*11)/factor_trimestre),((Datos!R19/Datos!Q19)*11)/factor_trimestre," - ")),(IF(ISNUMBER(((Datos!L19/Datos!K19)*11)/factor_trimestre),((Datos!L19/Datos!K19)*11)/factor_trimestre," - ")))</f>
        <v>4.9818840579710146</v>
      </c>
      <c r="AP19" s="834" t="str">
        <f>IF(ISNUMBER(Datos!CI19/Datos!CJ19),Datos!CI19/Datos!CJ19," - ")</f>
        <v xml:space="preserve"> - </v>
      </c>
      <c r="AQ19" s="834">
        <f>IF(OR(ISNUMBER(FIND("01",Criterios!A8,1)),ISNUMBER(FIND("02",Criterios!A8,1)),ISNUMBER(FIND("03",Criterios!A8,1)),ISNUMBER(FIND("04",Criterios!A8,1))),(J19-Y19+K19)/(F19-K19),(I19-Y19+K19)/(F19-K19))</f>
        <v>-2.4322916666666665</v>
      </c>
      <c r="AR19" s="834">
        <f>IF(ISNUMBER((Datos!P19-Datos!Q19+O19)/(Datos!R19-Datos!P19+Datos!Q19-O19)),(Datos!P19-Datos!Q19+O19)/(Datos!R19-Datos!P19+Datos!Q19-O19)," - ")</f>
        <v>-3.363384188626907E-2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538.79999999999995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767.87585802220224</v>
      </c>
      <c r="G21" s="552">
        <f>IF(ISNUMBER(STDEV(G8:G18)),STDEV(G8:G18),"-")</f>
        <v>712.5199646325708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355.64008023093606</v>
      </c>
      <c r="AK21" s="252"/>
      <c r="AL21" s="252">
        <f>IF(ISNUMBER(STDEV(AL8:AL18)),STDEV(AL8:AL18),"-")</f>
        <v>0</v>
      </c>
      <c r="AM21" s="254">
        <f>IF(ISNUMBER(STDEV(AM8:AM18)),STDEV(AM8:AM18),"-")</f>
        <v>0</v>
      </c>
      <c r="AN21" s="539">
        <f>IF(ISNUMBER(STDEV(AN8:AN18)),STDEV(AN8:AN18),"-")</f>
        <v>0</v>
      </c>
      <c r="AO21" s="540">
        <f>IF(ISNUMBER(STDEV(AO8:AO18)),STDEV(AO8:AO18),"-")</f>
        <v>3.0127950071299887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TNPDxXPID3xI7/m6ZbW8yPz+RSXF8BSwRP7YwQZYvHUlu1cR64fabB6OF6ObBqUOnYr87EOnoOEqJ0pd4x2eg==" saltValue="DeqsHac4lJcLbTxNuqDn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Scj67WlAo8rUMkzydyxYAO6CnpqTevsmDrjjeVGWxEayAqVLCsVsfAKNF1a5j9YM/nOp7lp+52Ad+Q6+0yArw==" saltValue="C1trl7osebLm0fVzjXvU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CACERES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AeAFz2FCz9obFUaWaIr+OaRpKEOCIwfORTGXU13eam+ho2Uz/w7AkgXJEgBZ22Um9rs4DU6apz74WGNuID0zg==" saltValue="+/K1CH0/Ty5hjsKGJ+tOv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0.30485952923310555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0.21556824043006748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JIuQP/Nolss13is+rxLFUrinU5UIrHtszZuVqJShvC1siOaGZMd6qVRPQVesB2LDjMPNG1jGY83p+THRw7fR4w==" saltValue="7lb29eXMAiAlOKppFPLqP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KYmIhAXW3iJxymj9oJE5OzhD3VdYKfAgZwoEzC5vrp3msVOzUttz4Sq6LM2yApEwjm93rp02QNTE8o9f99vew==" saltValue="Nv5y1OMB8BEsZVkJHttj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CACERES</v>
      </c>
      <c r="D3" s="375"/>
      <c r="E3" s="375"/>
      <c r="F3" s="375"/>
      <c r="BQ3" s="471"/>
    </row>
    <row r="4" spans="1:69" ht="13.5" thickBot="1">
      <c r="A4" s="375"/>
      <c r="B4" s="391" t="str">
        <f>Criterios!A11 &amp;"  "&amp;Criterios!B11</f>
        <v>Resumenes por Partidos Judiciales  NAVALMORAL DE LA MATA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2</v>
      </c>
      <c r="F10" s="404">
        <f>IF(ISNUMBER(E10/B10),E10/B10," - ")</f>
        <v>2</v>
      </c>
      <c r="G10" s="403">
        <f>IF(ISNUMBER(Datos!K10),Datos!K10," - ")</f>
        <v>9</v>
      </c>
      <c r="H10" s="404">
        <f>IF(ISNUMBER(G10/B10),G10/B10," - ")</f>
        <v>9</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1701</v>
      </c>
      <c r="D12" s="404">
        <f>IF(ISNUMBER(C12/Datos!BH12),C12/Datos!BH12," - ")</f>
        <v>567</v>
      </c>
      <c r="E12" s="403">
        <f>IF(ISNUMBER(IF(J_V="SI",Datos!J12,Datos!J12+Datos!Z12)),IF(J_V="SI",Datos!J12,Datos!J12+Datos!Z12)," - ")</f>
        <v>2626</v>
      </c>
      <c r="F12" s="404">
        <f>IF(ISNUMBER(E12/B12),E12/B12," - ")</f>
        <v>875.33333333333337</v>
      </c>
      <c r="G12" s="403">
        <f>IF(ISNUMBER(IF(J_V="SI",Datos!K12,Datos!K12+Datos!AA12)),IF(J_V="SI",Datos!K12,Datos!K12+Datos!AA12)," - ")</f>
        <v>2625</v>
      </c>
      <c r="H12" s="404">
        <f>IF(ISNUMBER(G12/B12),G12/B12," - ")</f>
        <v>875</v>
      </c>
      <c r="I12" s="403">
        <f>IF(ISNUMBER(IF(J_V="SI",Datos!L12,Datos!L12+Datos!AB12)),IF(J_V="SI",Datos!L12,Datos!L12+Datos!AB12)," - ")</f>
        <v>1736</v>
      </c>
      <c r="J12" s="404">
        <f>IF(ISNUMBER(I12/B12),I12/B12," - ")</f>
        <v>578.66666666666663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1708</v>
      </c>
      <c r="D13" s="850" t="str">
        <f>IF(ISNUMBER(C13/Datos!BI13),C13/Datos!BI13," - ")</f>
        <v xml:space="preserve"> - </v>
      </c>
      <c r="E13" s="849">
        <f>SUBTOTAL(9,E8:E12)</f>
        <v>2628</v>
      </c>
      <c r="F13" s="850">
        <f>IF(ISNUMBER(E13/B13),E13/B13," - ")</f>
        <v>876</v>
      </c>
      <c r="G13" s="849">
        <f>SUBTOTAL(9,G8:G12)</f>
        <v>2634</v>
      </c>
      <c r="H13" s="850">
        <f>IF(ISNUMBER(G13/B13),G13/B13," - ")</f>
        <v>878</v>
      </c>
      <c r="I13" s="849">
        <f>SUBTOTAL(9,I8:I12)</f>
        <v>1736</v>
      </c>
      <c r="J13" s="850">
        <f>IF(ISNUMBER(I13/B13),I13/B13," - ")</f>
        <v>578.66666666666663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1298</v>
      </c>
      <c r="D16" s="404">
        <f>IF(ISNUMBER(C16/Datos!BH16),C16/Datos!BH16," - ")</f>
        <v>432.66666666666669</v>
      </c>
      <c r="E16" s="403">
        <f>IF(ISNUMBER(IF(D_I="SI",Datos!J16,Datos!J16+Datos!AD16)),IF(D_I="SI",Datos!J16,Datos!J16+Datos!AD16)," - ")</f>
        <v>2789</v>
      </c>
      <c r="F16" s="404">
        <f>IF(ISNUMBER(E16/B16),E16/B16," - ")</f>
        <v>929.66666666666663</v>
      </c>
      <c r="G16" s="403">
        <f>IF(ISNUMBER(IF(D_I="SI",Datos!K16,Datos!K16+Datos!AE16)),IF(D_I="SI",Datos!K16,Datos!K16+Datos!AE16)," - ")</f>
        <v>3201</v>
      </c>
      <c r="H16" s="404">
        <f>IF(ISNUMBER(G16/B16),G16/B16," - ")</f>
        <v>1067</v>
      </c>
      <c r="I16" s="403">
        <f>IF(ISNUMBER(IF(D_I="SI",Datos!L16,Datos!L16+Datos!AF16)),IF(D_I="SI",Datos!L16,Datos!L16+Datos!AF16)," - ")</f>
        <v>925</v>
      </c>
      <c r="J16" s="404">
        <f>IF(ISNUMBER(I16/B16),I16/B16," - ")</f>
        <v>308.33333333333331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24</v>
      </c>
      <c r="F17" s="404">
        <f>IF(ISNUMBER(E17/B17),E17/B17," - ")</f>
        <v>24</v>
      </c>
      <c r="G17" s="403">
        <f>IF(ISNUMBER(IF(D_I="SI",Datos!K17,Datos!K17+Datos!AE17)),IF(D_I="SI",Datos!K17,Datos!K17+Datos!AE17)," - ")</f>
        <v>59</v>
      </c>
      <c r="H17" s="404">
        <f>IF(ISNUMBER(G17/B17),G17/B17," - ")</f>
        <v>59</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1340</v>
      </c>
      <c r="D18" s="850" t="str">
        <f>IF(ISNUMBER(C18/Datos!BI18),C18/Datos!BI18," - ")</f>
        <v xml:space="preserve"> - </v>
      </c>
      <c r="E18" s="849">
        <f>SUBTOTAL(9,E14:E17)</f>
        <v>2813</v>
      </c>
      <c r="F18" s="850">
        <f>IF(ISNUMBER(E18/B18),E18/B18," - ")</f>
        <v>937.66666666666663</v>
      </c>
      <c r="G18" s="849">
        <f>SUBTOTAL(9,G14:G17)</f>
        <v>3260</v>
      </c>
      <c r="H18" s="850">
        <f>IF(ISNUMBER(G18/B18),G18/B18," - ")</f>
        <v>1086.6666666666667</v>
      </c>
      <c r="I18" s="849">
        <f>SUBTOTAL(9,I14:I17)</f>
        <v>932</v>
      </c>
      <c r="J18" s="850">
        <f>IF(ISNUMBER(I18/B18),I18/B18," - ")</f>
        <v>310.66666666666669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3048</v>
      </c>
      <c r="D19" s="795" t="str">
        <f>IF(ISNUMBER(C19/Datos!BI19),C19/Datos!BI19," - ")</f>
        <v xml:space="preserve"> - </v>
      </c>
      <c r="E19" s="794">
        <f>SUBTOTAL(9,E9:E18)</f>
        <v>5441</v>
      </c>
      <c r="F19" s="795">
        <f>IF(ISNUMBER(E19/B19),E19/B19," - ")</f>
        <v>1813.6666666666667</v>
      </c>
      <c r="G19" s="794">
        <f>SUBTOTAL(9,G9:G18)</f>
        <v>5894</v>
      </c>
      <c r="H19" s="795">
        <f>IF(ISNUMBER(G19/B19),G19/B19," - ")</f>
        <v>1964.6666666666667</v>
      </c>
      <c r="I19" s="794">
        <f>SUBTOTAL(9,I9:I18)</f>
        <v>2668</v>
      </c>
      <c r="J19" s="795">
        <f>IF(ISNUMBER(I19/B19),I19/B19," - ")</f>
        <v>889.33333333333337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XDD53iqkgU6uk9SZ8Gi/jhJmtDmkWtZOiBNJ73MS7sFssMEsQqoDDWtzWryBFkwpKF960VVTgyNwqkuDheIXew==" saltValue="e2HysDjpVwGzHByi71Ym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CACERES  Resumenes por Partidos Judiciales  NAVALMORAL DE LA MATA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795</v>
      </c>
      <c r="AM12" s="690">
        <f>IF(ISNUMBER(Datos!N12+DatosP!N16),Datos!N12+DatosP!N16," - ")</f>
        <v>1012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7.2746666666666666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-4.5749279538904897E-2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677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804</v>
      </c>
      <c r="AE13" s="939">
        <f t="shared" si="1"/>
        <v>0</v>
      </c>
      <c r="AF13" s="939">
        <f t="shared" si="1"/>
        <v>0</v>
      </c>
      <c r="AG13" s="939">
        <f t="shared" si="1"/>
        <v>0</v>
      </c>
      <c r="AH13" s="939">
        <f t="shared" si="1"/>
        <v>2649</v>
      </c>
      <c r="AI13" s="939">
        <f t="shared" si="1"/>
        <v>0</v>
      </c>
      <c r="AJ13" s="939">
        <f t="shared" si="1"/>
        <v>0</v>
      </c>
      <c r="AK13" s="939">
        <f t="shared" si="1"/>
        <v>0</v>
      </c>
      <c r="AL13" s="939">
        <f t="shared" si="1"/>
        <v>803</v>
      </c>
      <c r="AM13" s="939">
        <f t="shared" si="1"/>
        <v>1012</v>
      </c>
      <c r="AN13" s="939">
        <f t="shared" si="1"/>
        <v>0</v>
      </c>
      <c r="AO13" s="939">
        <f t="shared" si="1"/>
        <v>0</v>
      </c>
      <c r="AP13" s="944">
        <f>IF(ISNUMBER(((Datos!L13/Datos!K13)*11)/factor_trimestre),((Datos!L13/Datos!K13)*11)/factor_trimestre," - ")</f>
        <v>7.3434542586750782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-1.2857142857142858</v>
      </c>
      <c r="AU13" s="939" t="str">
        <f>IF(ISNUMBER((DatosP!#REF!-DatosP!#REF!+DatosP!#REF!)/(DatosP!#REF!+DatosP!#REF!-DatosP!#REF!-DatosP!#REF!)),(DatosP!#REF!-DatosP!#REF!+DatosP!#REF!)/(DatosP!#REF!+DatosP!#REF!-DatosP!#REF!-DatosP!#REF!)," - ")</f>
        <v xml:space="preserve"> - </v>
      </c>
      <c r="AV13" s="945">
        <f>SUBTOTAL(9,AV9:AV12)</f>
        <v>-4.5749279538904897E-2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3.1447852760736197</v>
      </c>
      <c r="AQ18" s="944">
        <f>IF(ISNUMBER(((Datos!M18/Datos!L18)*11)/factor_trimestre),((Datos!M18/Datos!L18)*11)/factor_trimestre," - ")</f>
        <v>5.4527896995708156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0.46236559139784944</v>
      </c>
      <c r="AW18" s="946">
        <f>IF(ISNUMBER((Datos!Q18-Datos!R18)/(Datos!S18-Datos!Q18+Datos!R18)),(Datos!Q18-Datos!R18)/(Datos!S18-Datos!Q18+Datos!R18)," - ")</f>
        <v>-5.0314465408805034E-2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677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804</v>
      </c>
      <c r="AE19" s="957">
        <f t="shared" si="5"/>
        <v>0</v>
      </c>
      <c r="AF19" s="958">
        <f t="shared" si="5"/>
        <v>0</v>
      </c>
      <c r="AG19" s="958">
        <f t="shared" si="5"/>
        <v>0</v>
      </c>
      <c r="AH19" s="958">
        <f t="shared" si="5"/>
        <v>2649</v>
      </c>
      <c r="AI19" s="958">
        <f t="shared" si="5"/>
        <v>0</v>
      </c>
      <c r="AJ19" s="959">
        <f t="shared" si="5"/>
        <v>0</v>
      </c>
      <c r="AK19" s="959">
        <f t="shared" si="5"/>
        <v>0</v>
      </c>
      <c r="AL19" s="951">
        <f t="shared" si="5"/>
        <v>803</v>
      </c>
      <c r="AM19" s="951">
        <f t="shared" si="5"/>
        <v>1012</v>
      </c>
      <c r="AN19" s="951">
        <f t="shared" si="5"/>
        <v>0</v>
      </c>
      <c r="AO19" s="951">
        <f t="shared" si="5"/>
        <v>0</v>
      </c>
      <c r="AP19" s="951">
        <f>IF(ISNUMBER(((Datos!L19/Datos!K19)*11)/factor_trimestre),((Datos!L19/Datos!K19)*11)/factor_trimestre," - ")</f>
        <v>4.9818840579710146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-1.2857142857142858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-3.363384188626907E-2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459.01670267358827</v>
      </c>
      <c r="AM21" s="736"/>
      <c r="AN21" s="736">
        <f>IF(ISNUMBER(STDEV(AN8:AN18)),STDEV(AN8:AN18),"-")</f>
        <v>0</v>
      </c>
      <c r="AO21" s="742">
        <f>IF(ISNUMBER(STDEV(AO8:AO18)),STDEV(AO8:AO18),"-")</f>
        <v>0</v>
      </c>
      <c r="AP21" s="779">
        <f>IF(ISNUMBER(STDEV(AP8:AP18)),STDEV(AP8:AP18),"-")</f>
        <v>3.5523025778079758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XQv/Pd7M0joqyrLcN2xuKdVCp5UUEJbhvAiS/vbH+gWmmV8y4HQybPciEtK9WZe3hVfcm/FSBUZ+q/u2ZVvJ9w==" saltValue="vA8UaaTpuHHJ734TZYsPj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CACERES</v>
      </c>
      <c r="C3" s="415"/>
      <c r="F3" s="375"/>
      <c r="G3" s="375"/>
      <c r="H3" s="375"/>
    </row>
    <row r="4" spans="1:15" ht="13.5" thickBot="1">
      <c r="A4" s="375"/>
      <c r="B4" s="391" t="str">
        <f>Criterios!A11 &amp;"  "&amp;Criterios!B11</f>
        <v>Resumenes por Partidos Judiciales  NAVALMORAL DE LA MATA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sL6VqI/hin9NupdmdleERaWRUZxADlY2/swnqC75TxMrtn026qtsSuDgpIWz/keGKArD351Flscc7xC5HQSZw==" saltValue="oJG6hivlODExGiUkf0s4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CACERES</v>
      </c>
      <c r="C3" s="391"/>
      <c r="D3" s="425"/>
      <c r="BZ3" s="471"/>
    </row>
    <row r="4" spans="1:78" ht="13.5" thickBot="1">
      <c r="B4" s="391" t="str">
        <f>Criterios!A11 &amp;"  "&amp;Criterios!B11</f>
        <v>Resumenes por Partidos Judiciales  NAVALMORAL DE LA MATA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795</v>
      </c>
      <c r="E12" s="404">
        <f t="shared" si="0"/>
        <v>265</v>
      </c>
      <c r="F12" s="403">
        <f>IF(ISNUMBER(Datos!N12),Datos!N12," - ")</f>
        <v>1012</v>
      </c>
      <c r="G12" s="404">
        <f t="shared" si="1"/>
        <v>337.33333333333331</v>
      </c>
      <c r="H12" s="403">
        <f>IF(ISNUMBER(Datos!O12),Datos!O12," - ")</f>
        <v>1178</v>
      </c>
      <c r="I12" s="404">
        <f t="shared" si="2"/>
        <v>392.66666666666669</v>
      </c>
      <c r="BZ12" s="1186">
        <f>Datos!EZ12</f>
        <v>0</v>
      </c>
    </row>
    <row r="13" spans="1:78" ht="14.25" thickTop="1" thickBot="1">
      <c r="A13" s="848" t="str">
        <f>Datos!A13</f>
        <v>TOTAL</v>
      </c>
      <c r="B13" s="849">
        <f>Datos!AP13</f>
        <v>3</v>
      </c>
      <c r="C13" s="851">
        <f>Datos!AR13</f>
        <v>3</v>
      </c>
      <c r="D13" s="849">
        <f>SUBTOTAL(9,D9:D12)</f>
        <v>803</v>
      </c>
      <c r="E13" s="850">
        <f t="shared" si="0"/>
        <v>267.66666666666669</v>
      </c>
      <c r="F13" s="849">
        <f>SUBTOTAL(9,F9:F12)</f>
        <v>1012</v>
      </c>
      <c r="G13" s="850">
        <f t="shared" si="1"/>
        <v>337.33333333333331</v>
      </c>
      <c r="H13" s="849">
        <f>SUBTOTAL(9,H9:H12)</f>
        <v>1180</v>
      </c>
      <c r="I13" s="850">
        <f>IF(ISNUMBER(H13/B13),H13/B13," - ")</f>
        <v>393.33333333333331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457</v>
      </c>
      <c r="E16" s="404">
        <f t="shared" si="3"/>
        <v>152.33333333333334</v>
      </c>
      <c r="F16" s="403">
        <f>IF(ISNUMBER(Datos!N16),Datos!N16," - ")</f>
        <v>1670</v>
      </c>
      <c r="G16" s="404">
        <f t="shared" si="4"/>
        <v>556.66666666666663</v>
      </c>
      <c r="H16" s="403">
        <f>IF(ISNUMBER(Datos!O16),Datos!O16," - ")</f>
        <v>53</v>
      </c>
      <c r="I16" s="404">
        <f t="shared" si="5"/>
        <v>17.666666666666668</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462</v>
      </c>
      <c r="E18" s="850">
        <f t="shared" si="3"/>
        <v>154</v>
      </c>
      <c r="F18" s="849">
        <f>SUBTOTAL(9,F15:F17)</f>
        <v>1674</v>
      </c>
      <c r="G18" s="850">
        <f t="shared" si="4"/>
        <v>558</v>
      </c>
      <c r="H18" s="849">
        <f>SUBTOTAL(9,H15:H17)</f>
        <v>53</v>
      </c>
      <c r="I18" s="850">
        <f>IF(ISNUMBER(H18/B18),H18/B18," - ")</f>
        <v>17.666666666666668</v>
      </c>
      <c r="BZ18" s="1186"/>
    </row>
    <row r="19" spans="1:78" ht="14.25" thickTop="1" thickBot="1">
      <c r="A19" s="793" t="str">
        <f>Datos!A19</f>
        <v>TOTAL JURISDICCIONES</v>
      </c>
      <c r="B19" s="794">
        <f>Datos!AP19</f>
        <v>3</v>
      </c>
      <c r="C19" s="794">
        <f>Datos!AR19</f>
        <v>3</v>
      </c>
      <c r="D19" s="794">
        <f>SUBTOTAL(9,D8:D18)</f>
        <v>1265</v>
      </c>
      <c r="E19" s="795">
        <f>IF(ISNUMBER(D19/B19),D19/B19," - ")</f>
        <v>421.66666666666669</v>
      </c>
      <c r="F19" s="794">
        <f>SUBTOTAL(9,F8:F18)</f>
        <v>2686</v>
      </c>
      <c r="G19" s="795">
        <f>IF(ISNUMBER(F19/B19),F19/B19," - ")</f>
        <v>895.33333333333337</v>
      </c>
      <c r="H19" s="794">
        <f>SUBTOTAL(9,H8:H18)</f>
        <v>1233</v>
      </c>
      <c r="I19" s="795">
        <f>IF(ISNUMBER(H19/B19),H19/B19," - ")</f>
        <v>411</v>
      </c>
    </row>
    <row r="22" spans="1:78">
      <c r="A22" s="391" t="str">
        <f>Criterios!A4</f>
        <v>Fecha Informe: 28 feb. 2025</v>
      </c>
    </row>
    <row r="27" spans="1:78">
      <c r="A27" s="414"/>
    </row>
  </sheetData>
  <sheetProtection algorithmName="SHA-512" hashValue="5+iYo22U8pQ1OxoC4N6JmhtpcRXsHZKxwUlp/i8JHwOZ0kU+Gww+eE3BA5LErx/mLSyTeiu8egrs39XCNOC4ag==" saltValue="v/jvEdGhVf+4dRCSrT8d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CACERES</v>
      </c>
    </row>
    <row r="4" spans="1:4" ht="13.5" thickBot="1">
      <c r="B4" s="391" t="str">
        <f>Criterios!A11 &amp;"  "&amp;Criterios!B11</f>
        <v>Resumenes por Partidos Judiciales  NAVALMORAL DE LA MATA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13</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677</v>
      </c>
      <c r="C12" s="434">
        <f>IF(ISNUMBER(Datos!Q12),Datos!Q12," - ")</f>
        <v>804</v>
      </c>
      <c r="D12" s="408">
        <f>IF(ISNUMBER(Datos!R12),Datos!R12," - ")</f>
        <v>2649</v>
      </c>
    </row>
    <row r="13" spans="1:4" ht="14.25" thickTop="1" thickBot="1">
      <c r="A13" s="848" t="str">
        <f>Datos!A13</f>
        <v>TOTAL</v>
      </c>
      <c r="B13" s="849">
        <f>SUBTOTAL(9,B9:B12)</f>
        <v>677</v>
      </c>
      <c r="C13" s="853">
        <f>SUBTOTAL(9,C9:C12)</f>
        <v>817</v>
      </c>
      <c r="D13" s="851">
        <f>SUBTOTAL(9,D9:D12)</f>
        <v>2651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115</v>
      </c>
      <c r="C16" s="434">
        <f>IF(ISNUMBER(Datos!Q16),Datos!Q16," - ")</f>
        <v>72</v>
      </c>
      <c r="D16" s="408">
        <f>IF(ISNUMBER(Datos!R16),Datos!R16," - ")</f>
        <v>136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115</v>
      </c>
      <c r="C18" s="853">
        <f>SUBTOTAL(9,C15:C17)</f>
        <v>72</v>
      </c>
      <c r="D18" s="851">
        <f>SUBTOTAL(9,D15:D17)</f>
        <v>136</v>
      </c>
    </row>
    <row r="19" spans="1:4" ht="16.5" customHeight="1" thickTop="1" thickBot="1">
      <c r="A19" s="793" t="str">
        <f>Datos!A19</f>
        <v>TOTAL JURISDICCIONES</v>
      </c>
      <c r="B19" s="798">
        <f>SUBTOTAL(9,B8:B18)</f>
        <v>792</v>
      </c>
      <c r="C19" s="799">
        <f>SUBTOTAL(9,C8:C18)</f>
        <v>889</v>
      </c>
      <c r="D19" s="800">
        <f>SUBTOTAL(9,D8:D18)</f>
        <v>2787</v>
      </c>
    </row>
    <row r="20" spans="1:4" ht="7.5" customHeight="1"/>
    <row r="21" spans="1:4" ht="6" customHeight="1"/>
    <row r="22" spans="1:4">
      <c r="A22" s="391" t="str">
        <f>Criterios!A4</f>
        <v>Fecha Informe: 28 feb. 2025</v>
      </c>
    </row>
    <row r="27" spans="1:4">
      <c r="A27" s="414"/>
    </row>
  </sheetData>
  <sheetProtection algorithmName="SHA-512" hashValue="m3FGv/4qtwYA0nWdjQr/I83yP9dDoaVqkOvg22pLUdfbrbNeZZSRc4ZUF85BDyud3FsYni+fWhhvC+ZT0zw6nA==" saltValue="7O55OmwAJfH1cA1bk4z9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CACERES</v>
      </c>
    </row>
    <row r="4" spans="1:11" ht="10.5" customHeight="1" thickBot="1">
      <c r="B4" s="391" t="str">
        <f>Criterios!A11 &amp;"  "&amp;Criterios!B11</f>
        <v>Resumenes por Partidos Judiciales  NAVALMORAL DE LA MATA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-0.65</v>
      </c>
      <c r="C10" s="456">
        <f>IF(ISNUMBER((Datos!J10-Datos!T10)/Datos!T10),(Datos!J10-Datos!T10)/Datos!T10," - ")</f>
        <v>-0.66666666666666663</v>
      </c>
      <c r="D10" s="456">
        <f>IF(ISNUMBER((Datos!K10-Datos!U10)/Datos!U10),(Datos!K10-Datos!U10)/Datos!U10," - ")</f>
        <v>-0.52631578947368418</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0.42105263157894746</v>
      </c>
      <c r="I10" s="456">
        <f>IF(ISNUMBER(((NºAsuntos!I10/NºAsuntos!G10)-Datos!BE10)/Datos!BE10),((NºAsuntos!I10/NºAsuntos!G10)-Datos!BE10)/Datos!BE10," - ")</f>
        <v>-1</v>
      </c>
      <c r="J10" s="461">
        <f>IF(ISNUMBER((('Resol  Asuntos'!D10/NºAsuntos!G10)-Datos!BF10)/Datos!BF10),(('Resol  Asuntos'!D10/NºAsuntos!G10)-Datos!BF10)/Datos!BF10," - ")</f>
        <v>3.2222222222222223</v>
      </c>
      <c r="K10" s="462">
        <f>IF(ISNUMBER((((NºAsuntos!C10+NºAsuntos!E10)/NºAsuntos!G10)-Datos!BG10)/Datos!BG10),(((NºAsuntos!C10+NºAsuntos!E10)/NºAsuntos!G10)-Datos!BG10)/Datos!BG10," - ")</f>
        <v>-0.26923076923076927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0.19034289713086075</v>
      </c>
      <c r="C12" s="456">
        <f>IF(ISNUMBER(
   IF(J_V="SI",(Datos!J12-Datos!T12)/Datos!T12,(Datos!J12+Datos!Z12-(Datos!T12+Datos!AH12))/(Datos!T12+Datos!AH12))
     ),IF(J_V="SI",(Datos!J12-Datos!T12)/Datos!T12,(Datos!J12+Datos!Z12-(Datos!T12+Datos!AH12))/(Datos!T12+Datos!AH12))," - ")</f>
        <v>0.21856148491879351</v>
      </c>
      <c r="D12" s="456">
        <f>IF(ISNUMBER(
   IF(J_V="SI",(Datos!K12-Datos!U12)/Datos!U12,(Datos!K12+Datos!AA12-(Datos!U12+Datos!AI12))/(Datos!U12+Datos!AI12))
     ),IF(J_V="SI",(Datos!K12-Datos!U12)/Datos!U12,(Datos!K12+Datos!AA12-(Datos!U12+Datos!AI12))/(Datos!U12+Datos!AI12))," - ")</f>
        <v>0.40074706510138741</v>
      </c>
      <c r="E12" s="456">
        <f>IF(ISNUMBER(
   IF(J_V="SI",(Datos!L12-Datos!V12)/Datos!V12,(Datos!L12+Datos!AB12-(Datos!V12+Datos!AJ12))/(Datos!V12+Datos!AJ12))
     ),IF(J_V="SI",(Datos!L12-Datos!V12)/Datos!V12,(Datos!L12+Datos!AB12-(Datos!V12+Datos!AJ12))/(Datos!V12+Datos!AJ12))," - ")</f>
        <v>2.0576131687242798E-2</v>
      </c>
      <c r="F12" s="456">
        <f>IF(ISNUMBER((Datos!M12-Datos!W12)/Datos!W12),(Datos!M12-Datos!W12)/Datos!W12," - ")</f>
        <v>0.98750000000000004</v>
      </c>
      <c r="G12" s="457">
        <f>IF(ISNUMBER((Datos!N12-Datos!X12)/Datos!X12),(Datos!N12-Datos!X12)/Datos!X12," - ")</f>
        <v>0.25714285714285712</v>
      </c>
      <c r="H12" s="455">
        <f>IF(ISNUMBER(((NºAsuntos!G12/NºAsuntos!E12)-Datos!BD12)/Datos!BD12),((NºAsuntos!G12/NºAsuntos!E12)-Datos!BD12)/Datos!BD12," - ")</f>
        <v>0.14950873011937924</v>
      </c>
      <c r="I12" s="456">
        <f>IF(ISNUMBER(((NºAsuntos!I12/NºAsuntos!G12)-Datos!BE12)/Datos!BE12),((NºAsuntos!I12/NºAsuntos!G12)-Datos!BE12)/Datos!BE12," - ")</f>
        <v>-0.271405839702136</v>
      </c>
      <c r="J12" s="461">
        <f>IF(ISNUMBER((('Resol  Asuntos'!D12/NºAsuntos!G12)-Datos!BF12)/Datos!BF12),(('Resol  Asuntos'!D12/NºAsuntos!G12)-Datos!BF12)/Datos!BF12," - ")</f>
        <v>-0.29496362023070088</v>
      </c>
      <c r="K12" s="462">
        <f>IF(ISNUMBER((((NºAsuntos!C12+NºAsuntos!E12)/NºAsuntos!G12)-Datos!BG12)/Datos!BG12),(((NºAsuntos!C12+NºAsuntos!E12)/NºAsuntos!G12)-Datos!BG12)/Datos!BG12," - ")</f>
        <v>-0.13809545068027215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0.17874396135265699</v>
      </c>
      <c r="C13" s="855">
        <f>IF(ISNUMBER(
   IF(J_V="SI",(Datos!J13-Datos!T13)/Datos!T13,(Datos!J13+Datos!Z13-(Datos!T13+Datos!AH13))/(Datos!T13+Datos!AH13))
     ),IF(J_V="SI",(Datos!J13-Datos!T13)/Datos!T13,(Datos!J13+Datos!Z13-(Datos!T13+Datos!AH13))/(Datos!T13+Datos!AH13))," - ")</f>
        <v>0.21610365571494677</v>
      </c>
      <c r="D13" s="855">
        <f>IF(ISNUMBER(
   IF(J_V="SI",(Datos!K13-Datos!U13)/Datos!U13,(Datos!K13+Datos!AA13-(Datos!U13+Datos!AI13))/(Datos!U13+Datos!AI13))
     ),IF(J_V="SI",(Datos!K13-Datos!U13)/Datos!U13,(Datos!K13+Datos!AA13-(Datos!U13+Datos!AI13))/(Datos!U13+Datos!AI13))," - ")</f>
        <v>0.39144215530903326</v>
      </c>
      <c r="E13" s="855">
        <f>IF(ISNUMBER(
   IF(J_V="SI",(Datos!L13-Datos!V13)/Datos!V13,(Datos!L13+Datos!AB13-(Datos!V13+Datos!AJ13))/(Datos!V13+Datos!AJ13))
     ),IF(J_V="SI",(Datos!L13-Datos!V13)/Datos!V13,(Datos!L13+Datos!AB13-(Datos!V13+Datos!AJ13))/(Datos!V13+Datos!AJ13))," - ")</f>
        <v>1.6393442622950821E-2</v>
      </c>
      <c r="F13" s="856">
        <f>IF(ISNUMBER((Datos!M13-Datos!W13)/Datos!W13),(Datos!M13-Datos!W13)/Datos!W13," - ")</f>
        <v>0.98762376237623761</v>
      </c>
      <c r="G13" s="857">
        <f>IF(ISNUMBER((Datos!N13-Datos!X13)/Datos!X13),(Datos!N13-Datos!X13)/Datos!X13," - ")</f>
        <v>0.25714285714285712</v>
      </c>
      <c r="H13" s="857">
        <f>IF(ISNUMBER(((NºAsuntos!G13/NºAsuntos!E13)-Datos!BD13)/Datos!BD13),((NºAsuntos!G13/NºAsuntos!E13)-Datos!BD13)/Datos!BD13," - ")</f>
        <v>0.14418055465099744</v>
      </c>
      <c r="I13" s="857">
        <f>IF(ISNUMBER(((NºAsuntos!I13/NºAsuntos!G13)-Datos!BE13)/Datos!BE13),((NºAsuntos!I13/NºAsuntos!G13)-Datos!BE13)/Datos!BE13," - ")</f>
        <v>-0.26953956458418904</v>
      </c>
      <c r="J13" s="857">
        <f>IF(ISNUMBER((('Resol  Asuntos'!D13/NºAsuntos!G13)-Datos!BF13)/Datos!BF13),(('Resol  Asuntos'!D13/NºAsuntos!G13)-Datos!BF13)/Datos!BF13," - ")</f>
        <v>-0.28665131169558861</v>
      </c>
      <c r="K13" s="857">
        <f>IF(ISNUMBER((((NºAsuntos!C13+NºAsuntos!E13)/NºAsuntos!G13)-Datos!BG13)/Datos!BG13),(((NºAsuntos!C13+NºAsuntos!E13)/NºAsuntos!G13)-Datos!BG13)/Datos!BG13," - ")</f>
        <v>-0.13678910139513756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0.18107370336669701</v>
      </c>
      <c r="C16" s="456">
        <f>IF(ISNUMBER(
   IF(D_I="SI",(Datos!J16-Datos!T16)/Datos!T16,(Datos!J16+Datos!AD16-(Datos!T16+Datos!AL16))/(Datos!T16+Datos!AL16))
     ),IF(D_I="SI",(Datos!J16-Datos!T16)/Datos!T16,(Datos!J16+Datos!AD16-(Datos!T16+Datos!AL16))/(Datos!T16+Datos!AL16))," - ")</f>
        <v>0.16792294807370184</v>
      </c>
      <c r="D16" s="456">
        <f>IF(ISNUMBER(
   IF(D_I="SI",(Datos!K16-Datos!U16)/Datos!U16,(Datos!K16+Datos!AE16-(Datos!U16+Datos!AM16))/(Datos!U16+Datos!AM16))
     ),IF(D_I="SI",(Datos!K16-Datos!U16)/Datos!U16,(Datos!K16+Datos!AE16-(Datos!U16+Datos!AM16))/(Datos!U16+Datos!AM16))," - ")</f>
        <v>0.47783933518005539</v>
      </c>
      <c r="E16" s="456">
        <f>IF(ISNUMBER(
   IF(D_I="SI",(Datos!L16-Datos!V16)/Datos!V16,(Datos!L16+Datos!AF16-(Datos!V16+Datos!AN16))/(Datos!V16+Datos!AN16))
     ),IF(D_I="SI",(Datos!L16-Datos!V16)/Datos!V16,(Datos!L16+Datos!AF16-(Datos!V16+Datos!AN16))/(Datos!V16+Datos!AN16))," - ")</f>
        <v>-0.28736517719568566</v>
      </c>
      <c r="F16" s="456">
        <f>IF(ISNUMBER((Datos!M16-Datos!W16)/Datos!W16),(Datos!M16-Datos!W16)/Datos!W16," - ")</f>
        <v>0.48376623376623379</v>
      </c>
      <c r="G16" s="457">
        <f>IF(ISNUMBER((Datos!N16-Datos!X16)/Datos!X16),(Datos!N16-Datos!X16)/Datos!X16," - ")</f>
        <v>0.41166525781910396</v>
      </c>
      <c r="H16" s="455">
        <f>IF(ISNUMBER(((NºAsuntos!G16/NºAsuntos!E16)-Datos!BD16)/Datos!BD16),((NºAsuntos!G16/NºAsuntos!E16)-Datos!BD16)/Datos!BD16," - ")</f>
        <v>0.26535687788095108</v>
      </c>
      <c r="I16" s="456">
        <f>IF(ISNUMBER(((NºAsuntos!I16/NºAsuntos!G16)-Datos!BE16)/Datos!BE16),((NºAsuntos!I16/NºAsuntos!G16)-Datos!BE16)/Datos!BE16," - ")</f>
        <v>-0.51778599619052024</v>
      </c>
      <c r="J16" s="461">
        <f>IF(ISNUMBER((('Resol  Asuntos'!D16/NºAsuntos!G16)-Datos!BF16)/Datos!BF16),(('Resol  Asuntos'!D16/NºAsuntos!G16)-Datos!BF16)/Datos!BF16," - ")</f>
        <v>4.0105161942087736E-3</v>
      </c>
      <c r="K16" s="462">
        <f>IF(ISNUMBER((((NºAsuntos!C16+NºAsuntos!E16)/NºAsuntos!G16)-Datos!BG16)/Datos!BG16),(((NºAsuntos!C16+NºAsuntos!E16)/NºAsuntos!G16)-Datos!BG16)/Datos!BG16," - ")</f>
        <v>-0.20690453146497537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-0.61467889908256879</v>
      </c>
      <c r="C17" s="456">
        <f>IF(ISNUMBER(
   IF(D_I="SI",(Datos!J17-Datos!T17)/Datos!T17,(Datos!J17+Datos!AD17-(Datos!T17+Datos!AL17))/(Datos!T17+Datos!AL17))
     ),IF(D_I="SI",(Datos!J17-Datos!T17)/Datos!T17,(Datos!J17+Datos!AD17-(Datos!T17+Datos!AL17))/(Datos!T17+Datos!AL17))," - ")</f>
        <v>-0.53846153846153844</v>
      </c>
      <c r="D17" s="456">
        <f>IF(ISNUMBER(
   IF(D_I="SI",(Datos!K17-Datos!U17)/Datos!U17,(Datos!K17+Datos!AE17-(Datos!U17+Datos!AM17))/(Datos!U17+Datos!AM17))
     ),IF(D_I="SI",(Datos!K17-Datos!U17)/Datos!U17,(Datos!K17+Datos!AE17-(Datos!U17+Datos!AM17))/(Datos!U17+Datos!AM17))," - ")</f>
        <v>-0.57246376811594202</v>
      </c>
      <c r="E17" s="456">
        <f>IF(ISNUMBER(
   IF(D_I="SI",(Datos!L17-Datos!V17)/Datos!V17,(Datos!L17+Datos!AF17-(Datos!V17+Datos!AN17))/(Datos!V17+Datos!AN17))
     ),IF(D_I="SI",(Datos!L17-Datos!V17)/Datos!V17,(Datos!L17+Datos!AF17-(Datos!V17+Datos!AN17))/(Datos!V17+Datos!AN17))," - ")</f>
        <v>-0.83333333333333337</v>
      </c>
      <c r="F17" s="456">
        <f>IF(ISNUMBER((Datos!M17-Datos!W17)/Datos!W17),(Datos!M17-Datos!W17)/Datos!W17," - ")</f>
        <v>0.25</v>
      </c>
      <c r="G17" s="457">
        <f>IF(ISNUMBER((Datos!N17-Datos!X17)/Datos!X17),(Datos!N17-Datos!X17)/Datos!X17," - ")</f>
        <v>-0.92156862745098034</v>
      </c>
      <c r="H17" s="455">
        <f>IF(ISNUMBER(((NºAsuntos!G17/NºAsuntos!E17)-Datos!BD17)/Datos!BD17),((NºAsuntos!G17/NºAsuntos!E17)-Datos!BD17)/Datos!BD17," - ")</f>
        <v>-7.3671497584540974E-2</v>
      </c>
      <c r="I17" s="456">
        <f>IF(ISNUMBER(((NºAsuntos!I17/NºAsuntos!G17)-Datos!BE17)/Datos!BE17),((NºAsuntos!I17/NºAsuntos!G17)-Datos!BE17)/Datos!BE17," - ")</f>
        <v>-0.61016949152542366</v>
      </c>
      <c r="J17" s="461">
        <f>IF(ISNUMBER((('Resol  Asuntos'!D17/NºAsuntos!G17)-Datos!BF17)/Datos!BF17),(('Resol  Asuntos'!D17/NºAsuntos!G17)-Datos!BF17)/Datos!BF17," - ")</f>
        <v>1.9237288135593218</v>
      </c>
      <c r="K17" s="462">
        <f>IF(ISNUMBER((((NºAsuntos!C17+NºAsuntos!E17)/NºAsuntos!G17)-Datos!BG17)/Datos!BG17),(((NºAsuntos!C17+NºAsuntos!E17)/NºAsuntos!G17)-Datos!BG17)/Datos!BG17," - ")</f>
        <v>-4.1162227602905707E-2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0.10927152317880795</v>
      </c>
      <c r="C18" s="855">
        <f>IF(ISNUMBER(
   IF(Criterios!B14="SI",(Datos!J18-Datos!T18)/Datos!T18,(Datos!J18+Datos!AD18-(Datos!T18+Datos!AL18))/(Datos!T18+Datos!AL18))
     ),IF(Criterios!B14="SI",(Datos!J18-Datos!T18)/Datos!T18,(Datos!J18+Datos!AD18-(Datos!T18+Datos!AL18))/(Datos!T18+Datos!AL18))," - ")</f>
        <v>0.15286885245901638</v>
      </c>
      <c r="D18" s="855">
        <f>IF(ISNUMBER(
   IF(Criterios!B14="SI",(Datos!K18-Datos!U18)/Datos!U18,(Datos!K18+Datos!AE18-(Datos!U18+Datos!AM18))/(Datos!U18+Datos!AM18))
     ),IF(Criterios!B14="SI",(Datos!K18-Datos!U18)/Datos!U18,(Datos!K18+Datos!AE18-(Datos!U18+Datos!AM18))/(Datos!U18+Datos!AM18))," - ")</f>
        <v>0.41493055555555558</v>
      </c>
      <c r="E18" s="855">
        <f>IF(ISNUMBER(
   IF(Criterios!B14="SI",(Datos!L18-Datos!V18)/Datos!V18,(Datos!L18+Datos!AF18-(Datos!V18+Datos!AN18))/(Datos!V18+Datos!AN18))
     ),IF(Criterios!B14="SI",(Datos!L18-Datos!V18)/Datos!V18,(Datos!L18+Datos!AF18-(Datos!V18+Datos!AN18))/(Datos!V18+Datos!AN18))," - ")</f>
        <v>-0.30447761194029849</v>
      </c>
      <c r="F18" s="856">
        <f>IF(ISNUMBER((Datos!M18-Datos!W18)/Datos!W18),(Datos!M18-Datos!W18)/Datos!W18," - ")</f>
        <v>0.48076923076923078</v>
      </c>
      <c r="G18" s="857">
        <f>IF(ISNUMBER((Datos!N18-Datos!X18)/Datos!X18),(Datos!N18-Datos!X18)/Datos!X18," - ")</f>
        <v>0.3565640194489465</v>
      </c>
      <c r="H18" s="857">
        <f>IF(ISNUMBER(((NºAsuntos!G18/NºAsuntos!E18)-Datos!BD18)/Datos!BD18),((NºAsuntos!G18/NºAsuntos!E18)-Datos!BD18)/Datos!BD18," - ")</f>
        <v>0.22731267527748161</v>
      </c>
      <c r="I18" s="857">
        <f>IF(ISNUMBER(((NºAsuntos!I18/NºAsuntos!G18)-Datos!BE18)/Datos!BE18),((NºAsuntos!I18/NºAsuntos!G18)-Datos!BE18)/Datos!BE18," - ")</f>
        <v>-0.50844061899093485</v>
      </c>
      <c r="J18" s="857">
        <f>IF(ISNUMBER((('Resol  Asuntos'!D18/NºAsuntos!G18)-Datos!BF18)/Datos!BF18),(('Resol  Asuntos'!D18/NºAsuntos!G18)-Datos!BF18)/Datos!BF18," - ")</f>
        <v>4.6531382727701721E-2</v>
      </c>
      <c r="K18" s="857">
        <f>IF(ISNUMBER((((NºAsuntos!C18+NºAsuntos!E18)/NºAsuntos!G18)-Datos!BG18)/Datos!BG18),(((NºAsuntos!C18+NºAsuntos!E18)/NºAsuntos!G18)-Datos!BG18)/Datos!BG18," - ")</f>
        <v>-0.19541491766225369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0.14715844937899888</v>
      </c>
      <c r="C19" s="802">
        <f>IF(ISNUMBER(
   IF(J_V="SI",(Datos!J19-Datos!T19)/Datos!T19,(Datos!J19+Datos!Z19-(Datos!T19+Datos!AH19))/(Datos!T19+Datos!AH19))
     ),IF(J_V="SI",(Datos!J19-Datos!T19)/Datos!T19,(Datos!J19+Datos!Z19-(Datos!T19+Datos!AH19))/(Datos!T19+Datos!AH19))," - ")</f>
        <v>0.18256900673766571</v>
      </c>
      <c r="D19" s="802">
        <f>IF(ISNUMBER(
   IF(J_V="SI",(Datos!K19-Datos!U19)/Datos!U19,(Datos!K19+Datos!AA19-(Datos!U19+Datos!AI19))/(Datos!U19+Datos!AI19))
     ),IF(J_V="SI",(Datos!K19-Datos!U19)/Datos!U19,(Datos!K19+Datos!AA19-(Datos!U19+Datos!AI19))/(Datos!U19+Datos!AI19))," - ")</f>
        <v>0.40433643078389325</v>
      </c>
      <c r="E19" s="802">
        <f>IF(ISNUMBER(
   IF(J_V="SI",(Datos!L19-Datos!V19)/Datos!V19,(Datos!L19+Datos!AB19-(Datos!V19+Datos!AJ19))/(Datos!V19+Datos!AJ19))
     ),IF(J_V="SI",(Datos!L19-Datos!V19)/Datos!V19,(Datos!L19+Datos!AB19-(Datos!V19+Datos!AJ19))/(Datos!V19+Datos!AJ19))," - ")</f>
        <v>-0.12467191601049869</v>
      </c>
      <c r="F19" s="803">
        <f>IF(ISNUMBER((Datos!M19-Datos!W19)/Datos!W19),(Datos!M19-Datos!W19)/Datos!W19," - ")</f>
        <v>0.76675977653631289</v>
      </c>
      <c r="G19" s="804">
        <f>IF(ISNUMBER((Datos!N19-Datos!X19)/Datos!X19),(Datos!N19-Datos!X19)/Datos!X19," - ")</f>
        <v>0.31731240804315841</v>
      </c>
      <c r="H19" s="805">
        <f>IF(ISNUMBER((Tasas!B19-Datos!BD19)/Datos!BD19),(Tasas!B19-Datos!BD19)/Datos!BD19," - ")</f>
        <v>0.18753021834896028</v>
      </c>
      <c r="I19" s="806">
        <f>IF(ISNUMBER((Tasas!C19-Datos!BE19)/Datos!BE19),(Tasas!C19-Datos!BE19)/Datos!BE19," - ")</f>
        <v>-0.37669630666712978</v>
      </c>
      <c r="J19" s="807">
        <f>IF(ISNUMBER((Tasas!D19-Datos!BF19)/Datos!BF19),(Tasas!D19-Datos!BF19)/Datos!BF19," - ")</f>
        <v>-0.19644843619980334</v>
      </c>
      <c r="K19" s="807">
        <f>IF(ISNUMBER((Tasas!E19-Datos!BG19)/Datos!BG19),(Tasas!E19-Datos!BG19)/Datos!BG19," - ")</f>
        <v>-0.16714689841091776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Kv4E07ucoGHRv7iN2oSferR8prUMR4Px+RlUvSAQZ346fZo2vd5J3Bj9DBsHzAeiHb+qJDH4SChnvX6immM4g==" saltValue="NWSZGCr+Ug/wfZ66pVmD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CACERES</v>
      </c>
    </row>
    <row r="4" spans="1:7" ht="11.25" customHeight="1" thickBot="1">
      <c r="B4" s="391" t="str">
        <f>Criterios!A11 &amp;"  "&amp;Criterios!B11</f>
        <v>Resumenes por Partidos Judiciales  NAVALMORAL DE LA MATA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4.5</v>
      </c>
      <c r="C10" s="443">
        <f>IF(ISNUMBER(NºAsuntos!I10/NºAsuntos!G10),NºAsuntos!I10/NºAsuntos!G10," - ")</f>
        <v>0</v>
      </c>
      <c r="D10" s="444">
        <f>IF(ISNUMBER('Resol  Asuntos'!D10/NºAsuntos!G10),'Resol  Asuntos'!D10/NºAsuntos!G10," - ")</f>
        <v>0.88888888888888884</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0.99961919268849964</v>
      </c>
      <c r="C12" s="443">
        <f>IF(ISNUMBER(NºAsuntos!I12/NºAsuntos!G12),NºAsuntos!I12/NºAsuntos!G12," - ")</f>
        <v>0.66133333333333333</v>
      </c>
      <c r="D12" s="444">
        <f>IF(ISNUMBER('Resol  Asuntos'!D12/NºAsuntos!G12),'Resol  Asuntos'!D12/NºAsuntos!G12," - ")</f>
        <v>0.30285714285714288</v>
      </c>
      <c r="E12" s="445">
        <f>IF(ISNUMBER((NºAsuntos!C12+NºAsuntos!E12)/NºAsuntos!G12),(NºAsuntos!C12+NºAsuntos!E12)/NºAsuntos!G12," - ")</f>
        <v>1.6483809523809523</v>
      </c>
      <c r="G12" s="463"/>
    </row>
    <row r="13" spans="1:7" ht="14.25" thickTop="1" thickBot="1">
      <c r="A13" s="848" t="str">
        <f>Datos!A13</f>
        <v>TOTAL</v>
      </c>
      <c r="B13" s="858">
        <f>IF(ISNUMBER(NºAsuntos!G13/NºAsuntos!E13),NºAsuntos!G13/NºAsuntos!E13," - ")</f>
        <v>1.0022831050228311</v>
      </c>
      <c r="C13" s="859">
        <f>IF(ISNUMBER(NºAsuntos!I13/NºAsuntos!G13),NºAsuntos!I13/NºAsuntos!G13," - ")</f>
        <v>0.6590736522399393</v>
      </c>
      <c r="D13" s="860">
        <f>IF(ISNUMBER('Resol  Asuntos'!D13/NºAsuntos!G13),'Resol  Asuntos'!D13/NºAsuntos!G13," - ")</f>
        <v>0.30485952923310555</v>
      </c>
      <c r="E13" s="861">
        <f>IF(ISNUMBER((NºAsuntos!C13+NºAsuntos!E13)/NºAsuntos!G13),(NºAsuntos!C13+NºAsuntos!E13)/NºAsuntos!G13," - ")</f>
        <v>1.6461655277145026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1.1477231982789531</v>
      </c>
      <c r="C16" s="443">
        <f>IF(ISNUMBER(NºAsuntos!I16/NºAsuntos!G16),NºAsuntos!I16/NºAsuntos!G16," - ")</f>
        <v>0.28897219618869102</v>
      </c>
      <c r="D16" s="444">
        <f>IF(ISNUMBER('Resol  Asuntos'!D16/NºAsuntos!G16),'Resol  Asuntos'!D16/NºAsuntos!G16," - ")</f>
        <v>0.14276788503592627</v>
      </c>
      <c r="E16" s="445">
        <f>IF(ISNUMBER((NºAsuntos!C16+NºAsuntos!E16)/NºAsuntos!G16),(NºAsuntos!C16+NºAsuntos!E16)/NºAsuntos!G16," - ")</f>
        <v>1.2767885035926274</v>
      </c>
      <c r="G16" s="463"/>
    </row>
    <row r="17" spans="1:7" ht="13.5" thickBot="1">
      <c r="A17" s="402" t="str">
        <f>Datos!A17</f>
        <v>Jdos. Violencia contra la mujer</v>
      </c>
      <c r="B17" s="442">
        <f>IF(ISNUMBER(NºAsuntos!G17/NºAsuntos!E17),NºAsuntos!G17/NºAsuntos!E17," - ")</f>
        <v>2.4583333333333335</v>
      </c>
      <c r="C17" s="443">
        <f>IF(ISNUMBER(NºAsuntos!I17/NºAsuntos!G17),NºAsuntos!I17/NºAsuntos!G17," - ")</f>
        <v>0.11864406779661017</v>
      </c>
      <c r="D17" s="444">
        <f>IF(ISNUMBER('Resol  Asuntos'!D17/NºAsuntos!G17),'Resol  Asuntos'!D17/NºAsuntos!G17," - ")</f>
        <v>8.4745762711864403E-2</v>
      </c>
      <c r="E17" s="445">
        <f>IF(ISNUMBER((NºAsuntos!C17+NºAsuntos!E17)/NºAsuntos!G17),(NºAsuntos!C17+NºAsuntos!E17)/NºAsuntos!G17," - ")</f>
        <v>1.1186440677966101</v>
      </c>
      <c r="G17" s="463"/>
    </row>
    <row r="18" spans="1:7" ht="14.25" thickTop="1" thickBot="1">
      <c r="A18" s="848" t="str">
        <f>Datos!A18</f>
        <v>TOTAL</v>
      </c>
      <c r="B18" s="858">
        <f>IF(ISNUMBER(NºAsuntos!G18/NºAsuntos!E18),NºAsuntos!G18/NºAsuntos!E18," - ")</f>
        <v>1.158905083540704</v>
      </c>
      <c r="C18" s="859">
        <f>IF(ISNUMBER(NºAsuntos!I18/NºAsuntos!G18),NºAsuntos!I18/NºAsuntos!G18," - ")</f>
        <v>0.28588957055214725</v>
      </c>
      <c r="D18" s="862">
        <f>IF(ISNUMBER('Resol  Asuntos'!D18/NºAsuntos!G18),'Resol  Asuntos'!D18/NºAsuntos!G18," - ")</f>
        <v>0.14171779141104293</v>
      </c>
      <c r="E18" s="861">
        <f>IF(ISNUMBER((NºAsuntos!C18+NºAsuntos!E18)/NºAsuntos!G18),(NºAsuntos!C18+NºAsuntos!E18)/NºAsuntos!G18," - ")</f>
        <v>1.2739263803680982</v>
      </c>
      <c r="G18" s="463"/>
    </row>
    <row r="19" spans="1:7" ht="15.75" customHeight="1" thickTop="1" thickBot="1">
      <c r="A19" s="793" t="str">
        <f>Datos!A19</f>
        <v>TOTAL JURISDICCIONES</v>
      </c>
      <c r="B19" s="808">
        <f>IF(ISNUMBER(NºAsuntos!G19/NºAsuntos!E19),NºAsuntos!G19/NºAsuntos!E19," - ")</f>
        <v>1.0832567542731115</v>
      </c>
      <c r="C19" s="809">
        <f>IF(ISNUMBER(NºAsuntos!I19/NºAsuntos!G19),NºAsuntos!I19/NºAsuntos!G19," - ")</f>
        <v>0.45266372582287073</v>
      </c>
      <c r="D19" s="810">
        <f>IF(ISNUMBER('Resol  Asuntos'!D19/NºAsuntos!G19),'Resol  Asuntos'!D19/NºAsuntos!G19," - ")</f>
        <v>0.21462504241601629</v>
      </c>
      <c r="E19" s="811">
        <f>IF(ISNUMBER((NºAsuntos!C19+NºAsuntos!E19)/NºAsuntos!G19),(NºAsuntos!C19+NºAsuntos!E19)/NºAsuntos!G19," - ")</f>
        <v>1.4402782490668475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bBxpScTH7cyN0FwPIf3SGsDFHVT1QY+FURORWwajSROU/22taiq8LSwiyeX/GJtNIm+1QHzVk74a/0GOkoU1Q==" saltValue="6isott5VE+Y6GpKFpeG9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CACERES</v>
      </c>
      <c r="N2" s="262" t="str">
        <f>Criterios!A11 &amp;"  "&amp;Criterios!B11</f>
        <v>Resumenes por Partidos Judiciales  NAVALMORAL DE LA MATA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13</v>
      </c>
      <c r="Y10" s="334">
        <f t="shared" ref="Y10:Y12" si="0">SUM(W10:X10)</f>
        <v>22</v>
      </c>
      <c r="Z10" s="335" t="str">
        <f>IF(ISNUMBER(Datos!CC10),Datos!CC10," - ")</f>
        <v xml:space="preserve"> - </v>
      </c>
      <c r="AA10" s="332">
        <f>IF(ISNUMBER(Datos!L10),Datos!L10,"-")</f>
        <v>0</v>
      </c>
      <c r="AB10" s="334">
        <f>IF(ISNUMBER(Datos!R10),Datos!R10," - ")</f>
        <v>2</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4.5</v>
      </c>
      <c r="AM10" s="260">
        <f>IF(ISNUMBER(((NºAsuntos!I10/NºAsuntos!G10)*11)/factor_trimestre),((NºAsuntos!I10/NºAsuntos!G10)*11)/factor_trimestre," - ")</f>
        <v>0</v>
      </c>
      <c r="AN10" s="244">
        <f>IF(ISNUMBER('Resol  Asuntos'!D10/NºAsuntos!G10),'Resol  Asuntos'!D10/NºAsuntos!G10," - ")</f>
        <v>0.88888888888888884</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804</v>
      </c>
      <c r="Y12" s="334">
        <f t="shared" si="0"/>
        <v>804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795</v>
      </c>
      <c r="AJ12" s="229" t="str">
        <f>IF(ISNUMBER(Datos!BW12),Datos!BW12," - ")</f>
        <v xml:space="preserve"> - </v>
      </c>
      <c r="AK12" s="228" t="str">
        <f>IF(ISNUMBER(Datos!BX12),Datos!BX12," - ")</f>
        <v xml:space="preserve"> - </v>
      </c>
      <c r="AL12" s="243">
        <f>IF(ISNUMBER(NºAsuntos!G12/NºAsuntos!E12),NºAsuntos!G12/NºAsuntos!E12," - ")</f>
        <v>0.99961919268849964</v>
      </c>
      <c r="AM12" s="260">
        <f>IF(ISNUMBER(((NºAsuntos!I12/NºAsuntos!G12)*11)/factor_trimestre),((NºAsuntos!I12/NºAsuntos!G12)*11)/factor_trimestre," - ")</f>
        <v>7.2746666666666666</v>
      </c>
      <c r="AN12" s="244">
        <f>IF(ISNUMBER('Resol  Asuntos'!D12/NºAsuntos!G12),'Resol  Asuntos'!D12/NºAsuntos!G12," - ")</f>
        <v>0.30285714285714288</v>
      </c>
      <c r="AO12" s="245">
        <f>IF(ISNUMBER((NºAsuntos!C12+NºAsuntos!E12)/NºAsuntos!G12),(NºAsuntos!C12+NºAsuntos!E12)/NºAsuntos!G12," - ")</f>
        <v>1.6483809523809523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7</v>
      </c>
      <c r="G13" s="866">
        <f t="shared" si="3"/>
        <v>7</v>
      </c>
      <c r="H13" s="865">
        <f t="shared" si="3"/>
        <v>0</v>
      </c>
      <c r="I13" s="867">
        <f t="shared" si="3"/>
        <v>0</v>
      </c>
      <c r="J13" s="867">
        <f t="shared" si="3"/>
        <v>0</v>
      </c>
      <c r="K13" s="867">
        <f t="shared" si="3"/>
        <v>0</v>
      </c>
      <c r="L13" s="867">
        <f t="shared" si="3"/>
        <v>677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817</v>
      </c>
      <c r="Y13" s="868">
        <f t="shared" si="4"/>
        <v>826</v>
      </c>
      <c r="Z13" s="868">
        <f t="shared" si="4"/>
        <v>0</v>
      </c>
      <c r="AA13" s="868">
        <f t="shared" si="4"/>
        <v>0</v>
      </c>
      <c r="AB13" s="868">
        <f t="shared" si="4"/>
        <v>2651</v>
      </c>
      <c r="AC13" s="868">
        <f t="shared" si="4"/>
        <v>2</v>
      </c>
      <c r="AD13" s="868">
        <f t="shared" si="4"/>
        <v>0</v>
      </c>
      <c r="AE13" s="872">
        <f t="shared" si="4"/>
        <v>0</v>
      </c>
      <c r="AF13" s="865">
        <f t="shared" si="4"/>
        <v>0</v>
      </c>
      <c r="AG13" s="873">
        <f t="shared" si="4"/>
        <v>0</v>
      </c>
      <c r="AH13" s="870">
        <f t="shared" si="4"/>
        <v>0</v>
      </c>
      <c r="AI13" s="865">
        <f t="shared" si="4"/>
        <v>803</v>
      </c>
      <c r="AJ13" s="867">
        <f t="shared" si="4"/>
        <v>0</v>
      </c>
      <c r="AK13" s="870">
        <f>SUBTOTAL(9,AK9:AK12)</f>
        <v>0</v>
      </c>
      <c r="AL13" s="874">
        <f>IF(ISNUMBER(NºAsuntos!G13/NºAsuntos!E13),NºAsuntos!G13/NºAsuntos!E13," - ")</f>
        <v>1.0022831050228311</v>
      </c>
      <c r="AM13" s="874">
        <f>IF(ISNUMBER(((NºAsuntos!I13/NºAsuntos!G13)*11)/factor_trimestre),((NºAsuntos!I13/NºAsuntos!G13)*11)/factor_trimestre," - ")</f>
        <v>7.2498101746393324</v>
      </c>
      <c r="AN13" s="875">
        <f>IF(ISNUMBER('Resol  Asuntos'!D13/NºAsuntos!G13),'Resol  Asuntos'!D13/NºAsuntos!G13," - ")</f>
        <v>0.30485952923310555</v>
      </c>
      <c r="AO13" s="876">
        <f>IF(ISNUMBER((NºAsuntos!C13+NºAsuntos!E13)/NºAsuntos!G13),(NºAsuntos!C13+NºAsuntos!E13)/NºAsuntos!G13," - ")</f>
        <v>1.6461655277145026</v>
      </c>
      <c r="AP13" s="877" t="str">
        <f t="shared" si="2"/>
        <v xml:space="preserve"> - </v>
      </c>
      <c r="AQ13" s="877">
        <f>IF(ISNUMBER((H13-W13+K13)/(F13)),(H13-W13+K13)/(F13)," - ")</f>
        <v>-1.2857142857142858</v>
      </c>
      <c r="AR13" s="878">
        <f>IF(ISNUMBER((Datos!P13-Datos!Q13)/(Datos!R13-Datos!P13+Datos!Q13)),(Datos!P13-Datos!Q13)/(Datos!R13-Datos!P13+Datos!Q13)," - ")</f>
        <v>-5.0161232533142246E-2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1337</v>
      </c>
      <c r="G16" s="333">
        <f>IF(ISNUMBER(IF(D_I="SI",Datos!I16,Datos!I16+Datos!AC16)),IF(D_I="SI",Datos!I16,Datos!I16+Datos!AC16)," - ")</f>
        <v>1298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3201</v>
      </c>
      <c r="X16" s="226">
        <f>IF(ISNUMBER(Datos!Q16),Datos!Q16," - ")</f>
        <v>72</v>
      </c>
      <c r="Y16" s="334">
        <f t="shared" ref="Y16:Y17" si="7">SUM(W16:X16)</f>
        <v>3273</v>
      </c>
      <c r="Z16" s="335" t="str">
        <f>IF(ISNUMBER(Datos!CC16),Datos!CC16," - ")</f>
        <v xml:space="preserve"> - </v>
      </c>
      <c r="AA16" s="332">
        <f>IF(ISNUMBER(IF(D_I="SI",Datos!L16,Datos!L16+Datos!AF16)),IF(D_I="SI",Datos!L16,Datos!L16+Datos!AF16)," - ")</f>
        <v>925</v>
      </c>
      <c r="AB16" s="334">
        <f>IF(ISNUMBER(Datos!R16),Datos!R16," - ")</f>
        <v>136</v>
      </c>
      <c r="AC16" s="334">
        <f t="shared" si="6"/>
        <v>1061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457</v>
      </c>
      <c r="AJ16" s="231" t="str">
        <f>IF(ISNUMBER(Datos!BW16),Datos!BW16," - ")</f>
        <v xml:space="preserve"> - </v>
      </c>
      <c r="AK16" s="232" t="str">
        <f>IF(ISNUMBER(Datos!BX16),Datos!BX16," - ")</f>
        <v xml:space="preserve"> - </v>
      </c>
      <c r="AL16" s="243">
        <f>IF(ISNUMBER(NºAsuntos!G16/NºAsuntos!E16),NºAsuntos!G16/NºAsuntos!E16," - ")</f>
        <v>1.1477231982789531</v>
      </c>
      <c r="AM16" s="260">
        <f>IF(ISNUMBER(((NºAsuntos!I16/NºAsuntos!G16)*11)/factor_trimestre),((NºAsuntos!I16/NºAsuntos!G16)*11)/factor_trimestre," - ")</f>
        <v>3.1786941580756012</v>
      </c>
      <c r="AN16" s="244">
        <f>IF(ISNUMBER('Resol  Asuntos'!D16/NºAsuntos!G16),'Resol  Asuntos'!D16/NºAsuntos!G16," - ")</f>
        <v>0.14276788503592627</v>
      </c>
      <c r="AO16" s="245">
        <f>IF(ISNUMBER((NºAsuntos!C16+NºAsuntos!E16)/NºAsuntos!G16),(NºAsuntos!C16+NºAsuntos!E16)/NºAsuntos!G16," - ")</f>
        <v>1.2767885035926274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v>
      </c>
      <c r="X17" s="226">
        <f>IF(ISNUMBER(Datos!Q17),Datos!Q17," - ")</f>
        <v>0</v>
      </c>
      <c r="Y17" s="334">
        <f t="shared" si="7"/>
        <v>59</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2.4583333333333335</v>
      </c>
      <c r="AM17" s="260">
        <f>IF(ISNUMBER(((NºAsuntos!I17/NºAsuntos!G17)*11)/factor_trimestre),((NºAsuntos!I17/NºAsuntos!G17)*11)/factor_trimestre," - ")</f>
        <v>1.3050847457627119</v>
      </c>
      <c r="AN17" s="244">
        <f>IF(ISNUMBER('Resol  Asuntos'!D17/NºAsuntos!G17),'Resol  Asuntos'!D17/NºAsuntos!G17," - ")</f>
        <v>8.4745762711864403E-2</v>
      </c>
      <c r="AO17" s="245">
        <f>IF(ISNUMBER((NºAsuntos!C17+NºAsuntos!E17)/NºAsuntos!G17),(NºAsuntos!C17+NºAsuntos!E17)/NºAsuntos!G17," - ")</f>
        <v>1.1186440677966101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1337</v>
      </c>
      <c r="G18" s="866">
        <f>SUBTOTAL(9,G15:G17)</f>
        <v>1340</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3260</v>
      </c>
      <c r="X18" s="867">
        <f t="shared" si="11"/>
        <v>72</v>
      </c>
      <c r="Y18" s="868">
        <f t="shared" si="11"/>
        <v>3332</v>
      </c>
      <c r="Z18" s="868">
        <f t="shared" si="11"/>
        <v>0</v>
      </c>
      <c r="AA18" s="868">
        <f t="shared" si="11"/>
        <v>932</v>
      </c>
      <c r="AB18" s="868">
        <f t="shared" si="11"/>
        <v>136</v>
      </c>
      <c r="AC18" s="868">
        <f t="shared" si="11"/>
        <v>1068</v>
      </c>
      <c r="AD18" s="868">
        <f t="shared" si="11"/>
        <v>0</v>
      </c>
      <c r="AE18" s="872">
        <f t="shared" si="11"/>
        <v>0</v>
      </c>
      <c r="AF18" s="865">
        <f t="shared" si="11"/>
        <v>0</v>
      </c>
      <c r="AG18" s="873">
        <f t="shared" si="11"/>
        <v>0</v>
      </c>
      <c r="AH18" s="870">
        <f t="shared" si="11"/>
        <v>0</v>
      </c>
      <c r="AI18" s="865">
        <f t="shared" si="11"/>
        <v>462</v>
      </c>
      <c r="AJ18" s="867">
        <f t="shared" si="11"/>
        <v>0</v>
      </c>
      <c r="AK18" s="870">
        <f t="shared" si="11"/>
        <v>0</v>
      </c>
      <c r="AL18" s="874">
        <f>IF(ISNUMBER(NºAsuntos!G18/NºAsuntos!E18),NºAsuntos!G18/NºAsuntos!E18," - ")</f>
        <v>1.158905083540704</v>
      </c>
      <c r="AM18" s="874">
        <f>IF(ISNUMBER(((NºAsuntos!I18/NºAsuntos!G18)*11)/factor_trimestre),((NºAsuntos!I18/NºAsuntos!G18)*11)/factor_trimestre," - ")</f>
        <v>3.1447852760736197</v>
      </c>
      <c r="AN18" s="875">
        <f>IF(ISNUMBER('Resol  Asuntos'!D18/NºAsuntos!G18),'Resol  Asuntos'!D18/NºAsuntos!G18," - ")</f>
        <v>0.14171779141104293</v>
      </c>
      <c r="AO18" s="876">
        <f>IF(ISNUMBER((NºAsuntos!C18+NºAsuntos!E18)/NºAsuntos!G18),(NºAsuntos!C18+NºAsuntos!E18)/NºAsuntos!G18," - ")</f>
        <v>1.2739263803680982</v>
      </c>
      <c r="AP18" s="877" t="str">
        <f t="shared" si="2"/>
        <v xml:space="preserve"> - </v>
      </c>
      <c r="AQ18" s="877">
        <f>IF(ISNUMBER((H18-W18+K18)/(F18)),(H18-W18+K18)/(F18)," - ")</f>
        <v>-2.4382946896035902</v>
      </c>
      <c r="AR18" s="878">
        <f>IF(ISNUMBER((Datos!P18-Datos!Q18)/(Datos!R18-Datos!P18+Datos!Q18)),(Datos!P18-Datos!Q18)/(Datos!R18-Datos!P18+Datos!Q18)," - ")</f>
        <v>0.46236559139784944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1344</v>
      </c>
      <c r="G19" s="821">
        <f t="shared" si="13"/>
        <v>1347</v>
      </c>
      <c r="H19" s="820">
        <f t="shared" si="13"/>
        <v>0</v>
      </c>
      <c r="I19" s="822">
        <f t="shared" si="13"/>
        <v>0</v>
      </c>
      <c r="J19" s="822">
        <f t="shared" si="13"/>
        <v>0</v>
      </c>
      <c r="K19" s="881">
        <f t="shared" si="13"/>
        <v>0</v>
      </c>
      <c r="L19" s="822">
        <f t="shared" si="13"/>
        <v>792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3269</v>
      </c>
      <c r="X19" s="821">
        <f t="shared" si="14"/>
        <v>889</v>
      </c>
      <c r="Y19" s="828">
        <f t="shared" si="14"/>
        <v>4158</v>
      </c>
      <c r="Z19" s="828">
        <f t="shared" si="14"/>
        <v>0</v>
      </c>
      <c r="AA19" s="828">
        <f t="shared" si="14"/>
        <v>932</v>
      </c>
      <c r="AB19" s="828">
        <f t="shared" si="14"/>
        <v>2787</v>
      </c>
      <c r="AC19" s="828">
        <f t="shared" si="14"/>
        <v>1070</v>
      </c>
      <c r="AD19" s="828">
        <f t="shared" si="14"/>
        <v>0</v>
      </c>
      <c r="AE19" s="830">
        <f t="shared" si="14"/>
        <v>0</v>
      </c>
      <c r="AF19" s="831">
        <f t="shared" si="14"/>
        <v>0</v>
      </c>
      <c r="AG19" s="832">
        <f t="shared" si="14"/>
        <v>0</v>
      </c>
      <c r="AH19" s="830">
        <f t="shared" si="14"/>
        <v>0</v>
      </c>
      <c r="AI19" s="820">
        <f t="shared" si="14"/>
        <v>1265</v>
      </c>
      <c r="AJ19" s="820">
        <f t="shared" si="14"/>
        <v>0</v>
      </c>
      <c r="AK19" s="830">
        <f t="shared" si="14"/>
        <v>0</v>
      </c>
      <c r="AL19" s="884">
        <f>IF(ISNUMBER(NºAsuntos!G19/NºAsuntos!E19),NºAsuntos!G19/NºAsuntos!E19," - ")</f>
        <v>1.0832567542731115</v>
      </c>
      <c r="AM19" s="885">
        <f>IF(ISNUMBER(((NºAsuntos!I19/NºAsuntos!G19)*11)/factor_trimestre),((NºAsuntos!I19/NºAsuntos!G19)*11)/factor_trimestre," - ")</f>
        <v>4.9793009840515783</v>
      </c>
      <c r="AN19" s="885">
        <f>IF(ISNUMBER('Resol  Asuntos'!D19/NºAsuntos!G19),'Resol  Asuntos'!D19/NºAsuntos!G19," - ")</f>
        <v>0.21462504241601629</v>
      </c>
      <c r="AO19" s="886">
        <f>IF(ISNUMBER((NºAsuntos!C19+NºAsuntos!E19)/NºAsuntos!G19),(NºAsuntos!C19+NºAsuntos!E19)/NºAsuntos!G19," - ")</f>
        <v>1.4402782490668475</v>
      </c>
      <c r="AP19" s="887" t="str">
        <f t="shared" si="2"/>
        <v xml:space="preserve"> - </v>
      </c>
      <c r="AQ19" s="888">
        <f>IF(OR(ISNUMBER(FIND("01",Criterios!A8,1)),ISNUMBER(FIND("02",Criterios!A8,1)),ISNUMBER(FIND("03",Criterios!A8,1)),ISNUMBER(FIND("04",Criterios!A8,1))),(I19-W19+K19)/(F19-K19),(H19-W19+K19)/(F19-K19))</f>
        <v>-2.4322916666666665</v>
      </c>
      <c r="AR19" s="889">
        <f>IF(ISNUMBER((Datos!P19-Datos!Q19)/(Datos!R19-Datos!P19+Datos!Q19)),(Datos!P19-Datos!Q19)/(Datos!R19-Datos!P19+Datos!Q19)," - ")</f>
        <v>-3.363384188626907E-2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538.79999999999995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767.87585802220224</v>
      </c>
      <c r="G21" s="253">
        <f>IF(ISNUMBER(STDEV(G8:G18)),STDEV(G8:G18),"-")</f>
        <v>712.5199646325708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1755.602118932419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355.64008023093606</v>
      </c>
      <c r="AJ21" s="252">
        <f t="shared" si="18"/>
        <v>0</v>
      </c>
      <c r="AK21" s="254">
        <f t="shared" si="18"/>
        <v>0</v>
      </c>
      <c r="AL21" s="249">
        <f t="shared" si="18"/>
        <v>1.4000360846401989</v>
      </c>
      <c r="AM21" s="250">
        <f t="shared" si="18"/>
        <v>3.0127950071299887</v>
      </c>
      <c r="AN21" s="250">
        <f t="shared" si="18"/>
        <v>0.29739168297638713</v>
      </c>
      <c r="AO21" s="251">
        <f t="shared" si="18"/>
        <v>0.2686376531610753</v>
      </c>
      <c r="AP21" s="291" t="str">
        <f t="shared" si="18"/>
        <v>-</v>
      </c>
      <c r="AQ21" s="292">
        <f t="shared" si="18"/>
        <v>0.81499741945285742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x9MhMdxfPtFAKe0GiC3FmqUsx0KWrLAcUJtNGMv1O87WkM0YaE4Cf/KoXa9PGm6K/+SJZJ/GOjotIGclsfIaAA==" saltValue="8Oc9b5DyQ4fTN7OuLM3S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CACERES</v>
      </c>
      <c r="E3" s="263"/>
    </row>
    <row r="4" spans="2:20" ht="17.25" customHeight="1" thickBot="1">
      <c r="D4" s="262" t="str">
        <f>Criterios!A11 &amp;"  "&amp;Criterios!B11</f>
        <v>Resumenes por Partidos Judiciales  NAVALMORAL DE LA MATA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-0.65</v>
      </c>
      <c r="E10" s="348">
        <f>IF(ISNUMBER((Datos!J10-Datos!T10)/Datos!T10),(Datos!J10-Datos!T10)/Datos!T10," - ")</f>
        <v>-0.66666666666666663</v>
      </c>
      <c r="F10" s="348">
        <f>IF(ISNUMBER((Datos!K10-Datos!U10)/Datos!U10),(Datos!K10-Datos!U10)/Datos!U10," - ")</f>
        <v>-0.52631578947368418</v>
      </c>
      <c r="G10" s="349">
        <f>IF(ISNUMBER((Datos!L10-Datos!V10)/Datos!V10),(Datos!L10-Datos!V10)/Datos!V10," - ")</f>
        <v>-1</v>
      </c>
      <c r="H10" s="230">
        <f>IF(ISNUMBER((Datos!M10-Datos!W10)/Datos!W10),(Datos!M10-Datos!W10)/Datos!W10," - ")</f>
        <v>1</v>
      </c>
      <c r="I10" s="350">
        <f>IF(ISNUMBER((Tasas!C10-Datos!BE10)/Datos!BE10),(Tasas!C10-Datos!BE10)/Datos!BE10," - ")</f>
        <v>-1</v>
      </c>
      <c r="J10" s="349">
        <f>IF(ISNUMBER((Tasas!D10-Datos!BF10)/Datos!BF10),(Tasas!D10-Datos!BF10)/Datos!BF10," - ")</f>
        <v>3.2222222222222223</v>
      </c>
      <c r="K10" s="351">
        <f>IF(ISNUMBER((Tasas!E10-Datos!BG10)/Datos!BG10),(Tasas!E10-Datos!BG10)/Datos!BG10," - ")</f>
        <v>-0.26923076923076927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0.98750000000000004</v>
      </c>
      <c r="I12" s="350">
        <f>IF(ISNUMBER((Tasas!C12-Datos!BE12)/Datos!BE12),(Tasas!C12-Datos!BE12)/Datos!BE12," - ")</f>
        <v>-0.271405839702136</v>
      </c>
      <c r="J12" s="349">
        <f>IF(ISNUMBER((Tasas!D12-Datos!BF12)/Datos!BF12),(Tasas!D12-Datos!BF12)/Datos!BF12," - ")</f>
        <v>-0.29496362023070088</v>
      </c>
      <c r="K12" s="351">
        <f>IF(ISNUMBER((Tasas!E12-Datos!BG12)/Datos!BG12),(Tasas!E12-Datos!BG12)/Datos!BG12," - ")</f>
        <v>-0.13809545068027215</v>
      </c>
      <c r="M12" t="e">
        <f>IF(Monitorios="SI",Datos!CE12,0)</f>
        <v>#REF!</v>
      </c>
      <c r="N12" t="e">
        <f>IF(Monitorios="SI",Datos!CF12,0)</f>
        <v>#REF!</v>
      </c>
      <c r="O12" t="e">
        <f>IF(Monitorios="SI",Datos!CG12,0)</f>
        <v>#REF!</v>
      </c>
      <c r="P12" t="e">
        <f>IF(Monitorios="SI",Datos!CH12,0)</f>
        <v>#REF!</v>
      </c>
      <c r="Q12">
        <f>IF(J_V="SI",0,Datos!AG12)</f>
        <v>42</v>
      </c>
      <c r="R12">
        <f>IF(J_V="SI",0,Datos!AH12)</f>
        <v>131</v>
      </c>
      <c r="S12">
        <f>IF(J_V="SI",0,Datos!AI12)</f>
        <v>106</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0.98762376237623761</v>
      </c>
      <c r="I13" s="357">
        <f>IF(ISNUMBER((Tasas!C13-Datos!BE13)/Datos!BE13),(Tasas!C13-Datos!BE13)/Datos!BE13," - ")</f>
        <v>-0.26953956458418904</v>
      </c>
      <c r="J13" s="355">
        <f>IF(ISNUMBER((Tasas!D13-Datos!BF13)/Datos!BF13),(Tasas!D13-Datos!BF13)/Datos!BF13," - ")</f>
        <v>-0.28665131169558861</v>
      </c>
      <c r="K13" s="358">
        <f>IF(ISNUMBER((Tasas!E13-Datos!BG13)/Datos!BG13),(Tasas!E13-Datos!BG13)/Datos!BG13," - ")</f>
        <v>-0.13678910139513756</v>
      </c>
      <c r="M13" t="e">
        <f>IF(Monitorios="SI",Datos!CE13,0)</f>
        <v>#REF!</v>
      </c>
      <c r="N13" t="e">
        <f>IF(Monitorios="SI",Datos!CF13,0)</f>
        <v>#REF!</v>
      </c>
      <c r="O13" t="e">
        <f>IF(Monitorios="SI",Datos!CG13,0)</f>
        <v>#REF!</v>
      </c>
      <c r="P13" t="e">
        <f>IF(Monitorios="SI",Datos!CH13,0)</f>
        <v>#REF!</v>
      </c>
      <c r="Q13">
        <f>IF(J_V="SI",0,Datos!AG13)</f>
        <v>42</v>
      </c>
      <c r="R13">
        <f>IF(J_V="SI",0,Datos!AH13)</f>
        <v>131</v>
      </c>
      <c r="S13">
        <f>IF(J_V="SI",0,Datos!AI13)</f>
        <v>106</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0.18107370336669701</v>
      </c>
      <c r="E16" s="348">
        <f>IF(ISNUMBER(
   IF(D_I="SI",(Datos!J16-Datos!T16)/Datos!T16,(Datos!J16+Datos!AD16-(Datos!T16+Datos!AL16))/(Datos!T16+Datos!AL16))
     ),IF(D_I="SI",(Datos!J16-Datos!T16)/Datos!T16,(Datos!J16+Datos!AD16-(Datos!T16+Datos!AL16))/(Datos!T16+Datos!AL16))," - ")</f>
        <v>0.16792294807370184</v>
      </c>
      <c r="F16" s="348">
        <f>IF(ISNUMBER(
   IF(D_I="SI",(Datos!K16-Datos!U16)/Datos!U16,(Datos!K16+Datos!AE16-(Datos!U16+Datos!AM16))/(Datos!U16+Datos!AM16))
     ),IF(D_I="SI",(Datos!K16-Datos!U16)/Datos!U16,(Datos!K16+Datos!AE16-(Datos!U16+Datos!AM16))/(Datos!U16+Datos!AM16))," - ")</f>
        <v>0.47783933518005539</v>
      </c>
      <c r="G16" s="349">
        <f>IF(ISNUMBER(
   IF(D_I="SI",(Datos!L16-Datos!V16)/Datos!V16,(Datos!L16+Datos!AF16-(Datos!V16+Datos!AN16))/(Datos!V16+Datos!AN16))
     ),IF(D_I="SI",(Datos!L16-Datos!V16)/Datos!V16,(Datos!L16+Datos!AF16-(Datos!V16+Datos!AN16))/(Datos!V16+Datos!AN16))," - ")</f>
        <v>-0.28736517719568566</v>
      </c>
      <c r="H16" s="230">
        <f>IF(ISNUMBER((Datos!M16-Datos!W16)/Datos!W16),(Datos!M16-Datos!W16)/Datos!W16," - ")</f>
        <v>0.48376623376623379</v>
      </c>
      <c r="I16" s="350">
        <f>IF(ISNUMBER((Tasas!C16-Datos!BE16)/Datos!BE16),(Tasas!C16-Datos!BE16)/Datos!BE16," - ")</f>
        <v>-0.51778599619052024</v>
      </c>
      <c r="J16" s="349">
        <f>IF(ISNUMBER((Tasas!D16-Datos!BF16)/Datos!BF16),(Tasas!D16-Datos!BF16)/Datos!BF16," - ")</f>
        <v>4.0105161942087736E-3</v>
      </c>
      <c r="K16" s="351">
        <f>IF(ISNUMBER((Tasas!E16-Datos!BG16)/Datos!BG16),(Tasas!E16-Datos!BG16)/Datos!BG16," - ")</f>
        <v>-0.20690453146497537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-0.61467889908256879</v>
      </c>
      <c r="E17" s="348">
        <f>IF(ISNUMBER(
   IF(D_I="SI",(Datos!J17-Datos!T17)/Datos!T17,(Datos!J17+Datos!AD17-(Datos!T17+Datos!AL17))/(Datos!T17+Datos!AL17))
     ),IF(D_I="SI",(Datos!J17-Datos!T17)/Datos!T17,(Datos!J17+Datos!AD17-(Datos!T17+Datos!AL17))/(Datos!T17+Datos!AL17))," - ")</f>
        <v>-0.53846153846153844</v>
      </c>
      <c r="F17" s="348">
        <f>IF(ISNUMBER(
   IF(D_I="SI",(Datos!K17-Datos!U17)/Datos!U17,(Datos!K17+Datos!AE17-(Datos!U17+Datos!AM17))/(Datos!U17+Datos!AM17))
     ),IF(D_I="SI",(Datos!K17-Datos!U17)/Datos!U17,(Datos!K17+Datos!AE17-(Datos!U17+Datos!AM17))/(Datos!U17+Datos!AM17))," - ")</f>
        <v>-0.57246376811594202</v>
      </c>
      <c r="G17" s="349">
        <f>IF(ISNUMBER(
   IF(D_I="SI",(Datos!L17-Datos!V17)/Datos!V17,(Datos!L17+Datos!AF17-(Datos!V17+Datos!AN17))/(Datos!V17+Datos!AN17))
     ),IF(D_I="SI",(Datos!L17-Datos!V17)/Datos!V17,(Datos!L17+Datos!AF17-(Datos!V17+Datos!AN17))/(Datos!V17+Datos!AN17))," - ")</f>
        <v>-0.83333333333333337</v>
      </c>
      <c r="H17" s="230">
        <f>IF(ISNUMBER((Datos!M17-Datos!W17)/Datos!W17),(Datos!M17-Datos!W17)/Datos!W17," - ")</f>
        <v>0.25</v>
      </c>
      <c r="I17" s="350">
        <f>IF(ISNUMBER((Tasas!C17-Datos!BE17)/Datos!BE17),(Tasas!C17-Datos!BE17)/Datos!BE17," - ")</f>
        <v>-0.61016949152542366</v>
      </c>
      <c r="J17" s="349">
        <f>IF(ISNUMBER((Tasas!D17-Datos!BF17)/Datos!BF17),(Tasas!D17-Datos!BF17)/Datos!BF17," - ")</f>
        <v>1.9237288135593218</v>
      </c>
      <c r="K17" s="351">
        <f>IF(ISNUMBER((Tasas!E17-Datos!BG17)/Datos!BG17),(Tasas!E17-Datos!BG17)/Datos!BG17," - ")</f>
        <v>-4.1162227602905707E-2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0.10927152317880795</v>
      </c>
      <c r="E18" s="354">
        <f>IF(ISNUMBER(
   IF(D_I="SI",(Datos!J18-Datos!T18)/Datos!T18,(Datos!J18+Datos!AD18-(Datos!T18+Datos!AL18))/(Datos!T18+Datos!AL18))
     ),IF(D_I="SI",(Datos!J18-Datos!T18)/Datos!T18,(Datos!J18+Datos!AD18-(Datos!T18+Datos!AL18))/(Datos!T18+Datos!AL18))," - ")</f>
        <v>0.15286885245901638</v>
      </c>
      <c r="F18" s="354">
        <f>IF(ISNUMBER(
   IF(D_I="SI",(Datos!K18-Datos!U18)/Datos!U18,(Datos!K18+Datos!AE18-(Datos!U18+Datos!AM18))/(Datos!U18+Datos!AM18))
     ),IF(D_I="SI",(Datos!K18-Datos!U18)/Datos!U18,(Datos!K18+Datos!AE18-(Datos!U18+Datos!AM18))/(Datos!U18+Datos!AM18))," - ")</f>
        <v>0.41493055555555558</v>
      </c>
      <c r="G18" s="355">
        <f>IF(ISNUMBER(
   IF(D_I="SI",(Datos!L18-Datos!V18)/Datos!V18,(Datos!L18+Datos!AF18-(Datos!V18+Datos!AN18))/(Datos!V18+Datos!AN18))
     ),IF(D_I="SI",(Datos!L18-Datos!V18)/Datos!V18,(Datos!L18+Datos!AF18-(Datos!V18+Datos!AN18))/(Datos!V18+Datos!AN18))," - ")</f>
        <v>-0.30447761194029849</v>
      </c>
      <c r="H18" s="356">
        <f>IF(ISNUMBER((Datos!M18-Datos!W18)/Datos!W18),(Datos!M18-Datos!W18)/Datos!W18," - ")</f>
        <v>0.48076923076923078</v>
      </c>
      <c r="I18" s="357">
        <f>IF(ISNUMBER((Tasas!C18-Datos!BE18)/Datos!BE18),(Tasas!C18-Datos!BE18)/Datos!BE18," - ")</f>
        <v>-0.50844061899093485</v>
      </c>
      <c r="J18" s="355">
        <f>IF(ISNUMBER((Tasas!D18-Datos!BF18)/Datos!BF18),(Tasas!D18-Datos!BF18)/Datos!BF18," - ")</f>
        <v>4.6531382727701721E-2</v>
      </c>
      <c r="K18" s="358">
        <f>IF(ISNUMBER((Tasas!E18-Datos!BG18)/Datos!BG18),(Tasas!E18-Datos!BG18)/Datos!BG18," - ")</f>
        <v>-0.19541491766225369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0.14715844937899888</v>
      </c>
      <c r="E19" s="363">
        <f>IF(ISNUMBER(
   IF(J_V="SI",(Datos!J19-Datos!T19)/Datos!T19,(Datos!J19+Datos!Z19-(Datos!T19+Datos!AH19))/(Datos!T19+Datos!AH19))
     ),IF(J_V="SI",(Datos!J19-Datos!T19)/Datos!T19,(Datos!J19+Datos!Z19-(Datos!T19+Datos!AH19))/(Datos!T19+Datos!AH19))," - ")</f>
        <v>0.18256900673766571</v>
      </c>
      <c r="F19" s="363">
        <f>IF(ISNUMBER(
   IF(J_V="SI",(Datos!K19-Datos!U19)/Datos!U19,(Datos!K19+Datos!AA19-(Datos!U19+Datos!AI19))/(Datos!U19+Datos!AI19))
     ),IF(J_V="SI",(Datos!K19-Datos!U19)/Datos!U19,(Datos!K19+Datos!AA19-(Datos!U19+Datos!AI19))/(Datos!U19+Datos!AI19))," - ")</f>
        <v>0.40433643078389325</v>
      </c>
      <c r="G19" s="364">
        <f>IF(ISNUMBER(
   IF(J_V="SI",(Datos!L19-Datos!V19)/Datos!V19,(Datos!L19+Datos!AB19-(Datos!V19+Datos!AJ19))/(Datos!V19+Datos!AJ19))
     ),IF(J_V="SI",(Datos!L19-Datos!V19)/Datos!V19,(Datos!L19+Datos!AB19-(Datos!V19+Datos!AJ19))/(Datos!V19+Datos!AJ19))," - ")</f>
        <v>-0.12467191601049869</v>
      </c>
      <c r="H19" s="365">
        <f>IF(ISNUMBER((Datos!M19-Datos!W19)/Datos!W19),(Datos!M19-Datos!W19)/Datos!W19," - ")</f>
        <v>0.76675977653631289</v>
      </c>
      <c r="I19" s="362">
        <f>IF(ISNUMBER((Tasas!C19-Datos!BE19)/Datos!BE19),(Tasas!C19-Datos!BE19)/Datos!BE19," - ")</f>
        <v>-0.37669630666712978</v>
      </c>
      <c r="J19" s="363">
        <f>IF(ISNUMBER((Tasas!D19-Datos!BF19)/Datos!BF19),(Tasas!D19-Datos!BF19)/Datos!BF19," - ")</f>
        <v>-0.19644843619980334</v>
      </c>
      <c r="K19" s="364">
        <f>IF(ISNUMBER((Tasas!E19-Datos!BG19)/Datos!BG19),(Tasas!E19-Datos!BG19)/Datos!BG19," - ")</f>
        <v>-0.16714689841091776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0.4500839086386062</v>
      </c>
      <c r="E21" s="278">
        <f t="shared" si="1"/>
        <v>0.44363632112557122</v>
      </c>
      <c r="F21" s="278">
        <f t="shared" si="1"/>
        <v>0.57579246160529185</v>
      </c>
      <c r="G21" s="279">
        <f t="shared" si="1"/>
        <v>0.36485613577280507</v>
      </c>
      <c r="H21" s="285">
        <f t="shared" si="1"/>
        <v>0.33247105997041998</v>
      </c>
      <c r="I21" s="277">
        <f t="shared" si="1"/>
        <v>0.26931414236903645</v>
      </c>
      <c r="J21" s="278">
        <f t="shared" si="1"/>
        <v>1.4632351736015241</v>
      </c>
      <c r="K21" s="279">
        <f t="shared" si="1"/>
        <v>7.797390752236516E-2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nlvk4Ey3FX7K9HEiX6UXfE/eXM7dPj3pAfj7KfsaPoo/nZ6oxHMzxQ8lD3kH1zC3GfsMjhmcQoxDh4Y/rdWVA==" saltValue="/0plgc1y7MKsGfijw1mv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